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ansportation\2023-2026 Call for Projects\TwinCATS\Project Review Subcommitee 11-17-2021\"/>
    </mc:Choice>
  </mc:AlternateContent>
  <bookViews>
    <workbookView xWindow="0" yWindow="0" windowWidth="2475" windowHeight="8550"/>
  </bookViews>
  <sheets>
    <sheet name="Project Summary" sheetId="1" r:id="rId1"/>
    <sheet name="Financial Summary" sheetId="2" r:id="rId2"/>
  </sheets>
  <definedNames>
    <definedName name="_xlnm._FilterDatabase" localSheetId="0" hidden="1">'Project Summary'!$A$2:$BE$22</definedName>
    <definedName name="_xlnm.Print_Area" localSheetId="0">'Project Summary'!$A$1:$AG$22</definedName>
    <definedName name="_xlnm.Print_Titles" localSheetId="0">'Project Summary'!$1:$2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D2" i="2"/>
  <c r="C2" i="2"/>
  <c r="B2" i="2"/>
  <c r="M3" i="1" l="1"/>
  <c r="L3" i="1" s="1"/>
  <c r="L13" i="1" l="1"/>
  <c r="N13" i="1"/>
  <c r="N12" i="1" l="1"/>
  <c r="L12" i="1"/>
  <c r="N9" i="1"/>
  <c r="L9" i="1"/>
  <c r="N11" i="1" l="1"/>
  <c r="L11" i="1"/>
  <c r="L14" i="1"/>
  <c r="N14" i="1"/>
  <c r="L8" i="1"/>
  <c r="N8" i="1"/>
  <c r="L10" i="1"/>
  <c r="N10" i="1"/>
  <c r="L21" i="1"/>
  <c r="N21" i="1"/>
  <c r="N19" i="1"/>
  <c r="L19" i="1"/>
  <c r="M18" i="1"/>
  <c r="N18" i="1" s="1"/>
  <c r="N17" i="1"/>
  <c r="L17" i="1"/>
  <c r="L16" i="1"/>
  <c r="N16" i="1"/>
  <c r="M15" i="1"/>
  <c r="N15" i="1" s="1"/>
  <c r="L20" i="1"/>
  <c r="N5" i="1"/>
  <c r="L5" i="1"/>
  <c r="L15" i="1" l="1"/>
  <c r="B3" i="2"/>
  <c r="B13" i="2"/>
  <c r="B14" i="2" s="1"/>
  <c r="L18" i="1"/>
  <c r="B8" i="2" s="1"/>
  <c r="N20" i="1"/>
  <c r="B4" i="2" l="1"/>
  <c r="C4" i="2"/>
  <c r="M22" i="1"/>
  <c r="N22" i="1" s="1"/>
  <c r="M6" i="1"/>
  <c r="N6" i="1" s="1"/>
  <c r="M7" i="1" s="1"/>
  <c r="M4" i="1"/>
  <c r="L4" i="1" s="1"/>
  <c r="L6" i="1" l="1"/>
  <c r="L22" i="1"/>
  <c r="L7" i="1"/>
  <c r="N7" i="1"/>
  <c r="D3" i="2" l="1"/>
  <c r="E3" i="2" s="1"/>
  <c r="B7" i="2"/>
  <c r="B11" i="2" s="1"/>
  <c r="D4" i="2" l="1"/>
  <c r="E4" i="2" s="1"/>
</calcChain>
</file>

<file path=xl/sharedStrings.xml><?xml version="1.0" encoding="utf-8"?>
<sst xmlns="http://schemas.openxmlformats.org/spreadsheetml/2006/main" count="442" uniqueCount="144">
  <si>
    <t>Agency</t>
  </si>
  <si>
    <t>Name</t>
  </si>
  <si>
    <t>Limits</t>
  </si>
  <si>
    <t>Proposed year</t>
  </si>
  <si>
    <t>Description</t>
  </si>
  <si>
    <t>Federal</t>
  </si>
  <si>
    <t>PASER</t>
  </si>
  <si>
    <t>Traffic Count</t>
  </si>
  <si>
    <t>NFC</t>
  </si>
  <si>
    <t>TCATA</t>
  </si>
  <si>
    <t>Drainage</t>
  </si>
  <si>
    <t>MDOT Guidelines</t>
  </si>
  <si>
    <t>Total Crashes</t>
  </si>
  <si>
    <t>Countermeasures</t>
  </si>
  <si>
    <t>Other Plan</t>
  </si>
  <si>
    <t>Watermain breaks</t>
  </si>
  <si>
    <t>AM Training</t>
  </si>
  <si>
    <t>Financial</t>
  </si>
  <si>
    <t>System Preservation</t>
  </si>
  <si>
    <t>Safety</t>
  </si>
  <si>
    <t>Asset Management</t>
  </si>
  <si>
    <t>Percent Match</t>
  </si>
  <si>
    <t>Complete Streets</t>
  </si>
  <si>
    <t>Final Score</t>
  </si>
  <si>
    <t>Total Participating Cost</t>
  </si>
  <si>
    <t>Match</t>
  </si>
  <si>
    <t>rank</t>
  </si>
  <si>
    <t>out of</t>
  </si>
  <si>
    <t>Benton Harbor</t>
  </si>
  <si>
    <t>Empire Avenue to City Limits</t>
  </si>
  <si>
    <t>Pipestone Resurfacing</t>
  </si>
  <si>
    <t>Resurfacing of the roadway and ADA sidewalk upgrades.</t>
  </si>
  <si>
    <t>Resurface</t>
  </si>
  <si>
    <t>No</t>
  </si>
  <si>
    <t>Yes</t>
  </si>
  <si>
    <t>Adequate</t>
  </si>
  <si>
    <t>3R</t>
  </si>
  <si>
    <t xml:space="preserve">Improving </t>
  </si>
  <si>
    <t>NA</t>
  </si>
  <si>
    <t>Britain Avenue to Empire Avenue</t>
  </si>
  <si>
    <t>Reconstruction of the roadway, replacement of water main, sanitary sewer, and storm sewer, and ADA sidewalk upgrades.</t>
  </si>
  <si>
    <t>4R</t>
  </si>
  <si>
    <t>Colfax Avenue Reconstruction</t>
  </si>
  <si>
    <t>Market Street to Britain Avenue</t>
  </si>
  <si>
    <t>Reconstruction of the roadway, replacement of water main, sanitary
sewer, and storm sewer, and ADA sidewalk upgrades.</t>
  </si>
  <si>
    <t>Minor Arterial</t>
  </si>
  <si>
    <t>Main Street to Market Street</t>
  </si>
  <si>
    <t>Minor Problems</t>
  </si>
  <si>
    <t>Britain Avenue Resurfacing</t>
  </si>
  <si>
    <t>Riverview Drive to Colfax Avenue</t>
  </si>
  <si>
    <t>Resurfacing of the roadway and ADA sidewalk upgrades</t>
  </si>
  <si>
    <t>Stevensville</t>
  </si>
  <si>
    <t xml:space="preserve">John Beers </t>
  </si>
  <si>
    <t>2 (applied for previously)</t>
  </si>
  <si>
    <t>Other Principle Arterial</t>
  </si>
  <si>
    <t>None</t>
  </si>
  <si>
    <t>St. Joseph</t>
  </si>
  <si>
    <t>Illustrative</t>
  </si>
  <si>
    <t>S. State Street Reconstruction</t>
  </si>
  <si>
    <t>Wallace Avenue to Main Street (I94 BL)</t>
  </si>
  <si>
    <t>Reconstruct S State Street from Wallace Avenue to Main S.  Replace old City underground storm sewer, sanitary sewer and water main.  Install non-motorized facilities in the form of either bike lanes or a non-motorized path and upgrade all ADA ramps to meet current standards.</t>
  </si>
  <si>
    <t>Inadequate</t>
  </si>
  <si>
    <t>South State Street to Niles Avenue</t>
  </si>
  <si>
    <t>Lake Boulevard Resurfacing</t>
  </si>
  <si>
    <t>Cold mill and resurface.  Replace sidewalk ramps and install detectable warning panels as needed to meet current ADA standards. Work needed in advance of Main Street (I94-BL) Reconstruction Project, tentatively slated for 2027.</t>
  </si>
  <si>
    <t>Red Arrow Highway to West Village Limit</t>
  </si>
  <si>
    <t>Upton Drive reconstruction</t>
  </si>
  <si>
    <t>Momany Drive to North City Limits</t>
  </si>
  <si>
    <t>Reconstruct Upton Drive from Momany Drive to north City limits.  Replace old City underground storm sewer, sanitary sewer and water main.  Install non-motorized facilities and upgrade all ADA ramps to meet current standards</t>
  </si>
  <si>
    <t>851 or 2,000</t>
  </si>
  <si>
    <t>3 (applied for previously)</t>
  </si>
  <si>
    <t>Cleveland Avenue Resurfacing</t>
  </si>
  <si>
    <t xml:space="preserve">Hilltop Rd. to Lakeshore Dr. </t>
  </si>
  <si>
    <t>Cold mill and resurface  Replace sidewalk ramps and install detectable warning panels as needed to meet current ADA standards. Replace a section of storm sewer near Dunham Ave</t>
  </si>
  <si>
    <t>Water &amp; Vine Street Reconstruction</t>
  </si>
  <si>
    <t>Broad Str. (CSX RR) to State St.</t>
  </si>
  <si>
    <t>Full reconstruction Replace 20" diameter water main and rehabilitate (CIPP) 36" brick storm sewer.  Non-motorized facilities will be added.  Crosswalks, sidewalks, etc. will be designed to meet current ADA standards</t>
  </si>
  <si>
    <t>2-3 applied for previously</t>
  </si>
  <si>
    <t>Wolcott Reconstruction</t>
  </si>
  <si>
    <t>Niles Ave. to Langley Ave.</t>
  </si>
  <si>
    <t>Full reconstruction of Wolcott Avenue and all underground utilities (water main, sanitary sewer, and storm sewer).  Non-motorized facilities will be added.  Crosswalks, sidewalks, etc. will be designed to meet current ADA standards.</t>
  </si>
  <si>
    <t>yes</t>
  </si>
  <si>
    <t>Berrien County Road Department</t>
  </si>
  <si>
    <t>St. Joseph Township</t>
  </si>
  <si>
    <t>Hilltop Ave. to Glenlord Rd.</t>
  </si>
  <si>
    <t>HMA Mill &amp; Fill, Drainage Reconstruct, Guardrail,</t>
  </si>
  <si>
    <t>In AM Plan</t>
  </si>
  <si>
    <t>M-63 to Maiden Lane</t>
  </si>
  <si>
    <t>Lincoln Avenue</t>
  </si>
  <si>
    <t>HMA Mill &amp; Fill, Drainage structure adjustment</t>
  </si>
  <si>
    <t>Benton Township</t>
  </si>
  <si>
    <t>Napier avenue to Benton Harbor Limits</t>
  </si>
  <si>
    <t>Principal Arterial</t>
  </si>
  <si>
    <t>Na</t>
  </si>
  <si>
    <t>Lincoln Township</t>
  </si>
  <si>
    <t>Red Arrow Hwy</t>
  </si>
  <si>
    <t>DC Cook to Village of Stevensville</t>
  </si>
  <si>
    <t>Pipestone Avenue</t>
  </si>
  <si>
    <t>Lake Township</t>
  </si>
  <si>
    <t>Bridgman Limits to DC Cook</t>
  </si>
  <si>
    <t>HMA Mill &amp; Fill, Road Diet, Drainage Reconstruct, Guardrail, non-motorized</t>
  </si>
  <si>
    <t>Full Points</t>
  </si>
  <si>
    <t>Sodus Parkway</t>
  </si>
  <si>
    <t>Sodus Township</t>
  </si>
  <si>
    <t>HMA Mill &amp; Fill, Drainage Reconstruct</t>
  </si>
  <si>
    <t>o</t>
  </si>
  <si>
    <t>Glenlord Rd. to John Beers Rd</t>
  </si>
  <si>
    <t>Total Ask</t>
  </si>
  <si>
    <t>Total Avaliable</t>
  </si>
  <si>
    <t>all #1</t>
  </si>
  <si>
    <t>Estimate</t>
  </si>
  <si>
    <t>Request</t>
  </si>
  <si>
    <t>Shortfall</t>
  </si>
  <si>
    <t>Total</t>
  </si>
  <si>
    <t>Illustratvie only</t>
  </si>
  <si>
    <t>length (miles)</t>
  </si>
  <si>
    <t>Full reconstruction of Botham Avenue and all underground utilities (water main, sanitary sewer, and storm sewer).  Crosswalks, sidewalks, etc. will be designed to meet current ADA standards.  Bore &amp; Jack of watermain (non-participating) under Niles Avenue</t>
  </si>
  <si>
    <t>all #1 &amp; #2</t>
  </si>
  <si>
    <t>Project Information</t>
  </si>
  <si>
    <t>Regional Connectivity</t>
  </si>
  <si>
    <t>Jurisdiction</t>
  </si>
  <si>
    <t>Primary Work type</t>
  </si>
  <si>
    <t>pedestrian &amp; Bicycle Facilities</t>
  </si>
  <si>
    <t>Connectivity</t>
  </si>
  <si>
    <t>Other Utilities in AM Plan</t>
  </si>
  <si>
    <t>Coordinate with other Infrastructure</t>
  </si>
  <si>
    <t>Utilities assessment</t>
  </si>
  <si>
    <t>Continuity</t>
  </si>
  <si>
    <t>Reconstruction</t>
  </si>
  <si>
    <t>Pipestone Reconstruction</t>
  </si>
  <si>
    <t>Occasional drainage problems</t>
  </si>
  <si>
    <t>wide shoulder; no improvement</t>
  </si>
  <si>
    <t>Exist; no improvements</t>
  </si>
  <si>
    <t>Pipestone Rd to Pipestone Creek Bridge</t>
  </si>
  <si>
    <t>Sidewalks exist; no improvement</t>
  </si>
  <si>
    <t>HMA Mill &amp; Fill with Drainage Structure adjustment, and sidewalk</t>
  </si>
  <si>
    <t>Intermittent sidewalks will complete on 1 side</t>
  </si>
  <si>
    <t>Botham Reconstruction</t>
  </si>
  <si>
    <t>Major Collector</t>
  </si>
  <si>
    <t>Lake Boulevard - Hatch Street to Ship Street (3,450 feet) &amp; Broad Street - Lake Boulevard to State Street (300 feet)</t>
  </si>
  <si>
    <t>he plan for the project is to remove the existing asphalt roadway and reconstruct the roadway with 5.5 inches of hot mix asphalt.  This would create two 11 ft. lanes with 5 ft. shoulders for bike lanes.</t>
  </si>
  <si>
    <t>Village of Stevensville</t>
  </si>
  <si>
    <t>City of St. Joseph</t>
  </si>
  <si>
    <t>City of Benton Harbor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</si>
</sst>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  <numFmt numFmtId="167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165" fontId="0" fillId="0" borderId="0" xfId="2" applyNumberFormat="1" applyFont="1" applyFill="1" applyAlignment="1">
      <alignment wrapText="1"/>
    </xf>
    <xf numFmtId="2" fontId="0" fillId="0" borderId="0" xfId="0" applyNumberFormat="1" applyFill="1" applyAlignment="1">
      <alignment wrapText="1"/>
    </xf>
    <xf numFmtId="44" fontId="0" fillId="0" borderId="0" xfId="2" applyFont="1"/>
    <xf numFmtId="167" fontId="0" fillId="0" borderId="0" xfId="2" applyNumberFormat="1" applyFont="1"/>
    <xf numFmtId="0" fontId="0" fillId="0" borderId="0" xfId="0" applyFill="1" applyAlignment="1">
      <alignment vertical="center" wrapText="1"/>
    </xf>
    <xf numFmtId="167" fontId="0" fillId="0" borderId="0" xfId="0" applyNumberFormat="1"/>
    <xf numFmtId="165" fontId="0" fillId="0" borderId="0" xfId="0" applyNumberFormat="1"/>
    <xf numFmtId="0" fontId="3" fillId="7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65" fontId="0" fillId="0" borderId="0" xfId="2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5" fontId="0" fillId="0" borderId="0" xfId="2" applyNumberFormat="1" applyFont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0" borderId="1" xfId="2" applyNumberFormat="1" applyFont="1" applyFill="1" applyBorder="1" applyAlignment="1">
      <alignment horizontal="center" vertical="center" wrapText="1"/>
    </xf>
    <xf numFmtId="165" fontId="0" fillId="0" borderId="1" xfId="2" applyNumberFormat="1" applyFont="1" applyFill="1" applyBorder="1" applyAlignment="1">
      <alignment horizontal="center" vertical="center" wrapText="1"/>
    </xf>
    <xf numFmtId="10" fontId="0" fillId="0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64"/>
  <sheetViews>
    <sheetView tabSelected="1" topLeftCell="S1" zoomScale="85" zoomScaleNormal="85" workbookViewId="0">
      <pane ySplit="2" topLeftCell="A3" activePane="bottomLeft" state="frozen"/>
      <selection activeCell="V1" sqref="V1"/>
      <selection pane="bottomLeft" activeCell="AD3" sqref="AD3"/>
    </sheetView>
  </sheetViews>
  <sheetFormatPr defaultRowHeight="15" x14ac:dyDescent="0.25"/>
  <cols>
    <col min="1" max="1" width="9.140625" style="15" customWidth="1"/>
    <col min="2" max="2" width="12.140625" style="15" customWidth="1"/>
    <col min="3" max="3" width="6.42578125" style="15" customWidth="1"/>
    <col min="4" max="4" width="5.7109375" style="15" customWidth="1"/>
    <col min="5" max="5" width="14.42578125" style="15" customWidth="1"/>
    <col min="6" max="6" width="17.140625" style="15" customWidth="1"/>
    <col min="7" max="7" width="22.140625" style="15" customWidth="1"/>
    <col min="8" max="8" width="9.140625" style="15"/>
    <col min="9" max="9" width="15.28515625" style="15" customWidth="1"/>
    <col min="10" max="10" width="44.85546875" style="15" customWidth="1"/>
    <col min="11" max="11" width="13.7109375" style="15" customWidth="1"/>
    <col min="12" max="12" width="10.28515625" style="15" customWidth="1"/>
    <col min="13" max="13" width="11.5703125" style="15" bestFit="1" customWidth="1"/>
    <col min="14" max="14" width="9.85546875" style="15" customWidth="1"/>
    <col min="15" max="15" width="9.140625" style="15"/>
    <col min="16" max="17" width="9.140625" style="1"/>
    <col min="18" max="18" width="12" style="1" customWidth="1"/>
    <col min="19" max="19" width="9.42578125" style="1" customWidth="1"/>
    <col min="20" max="20" width="11.7109375" style="1" customWidth="1"/>
    <col min="21" max="21" width="9.140625" style="1"/>
    <col min="22" max="22" width="12.5703125" style="1" bestFit="1" customWidth="1"/>
    <col min="23" max="23" width="18.5703125" style="35" bestFit="1" customWidth="1"/>
    <col min="24" max="24" width="12.5703125" style="1" customWidth="1"/>
    <col min="25" max="25" width="9.140625" style="1"/>
    <col min="26" max="26" width="9.7109375" style="1" customWidth="1"/>
    <col min="27" max="27" width="9.140625" style="1"/>
    <col min="28" max="28" width="7" style="1" customWidth="1"/>
    <col min="29" max="29" width="11.140625" style="1" customWidth="1"/>
    <col min="30" max="30" width="11.28515625" style="1" customWidth="1"/>
    <col min="31" max="31" width="12.5703125" style="1" customWidth="1"/>
    <col min="32" max="32" width="11.140625" style="1" customWidth="1"/>
    <col min="33" max="16384" width="9.140625" style="1"/>
  </cols>
  <sheetData>
    <row r="1" spans="1:39" ht="31.5" x14ac:dyDescent="0.25">
      <c r="A1" s="26" t="s">
        <v>118</v>
      </c>
      <c r="B1" s="26"/>
      <c r="C1" s="26"/>
      <c r="D1" s="26"/>
      <c r="E1" s="26"/>
      <c r="F1" s="26"/>
      <c r="G1" s="26"/>
      <c r="H1" s="26"/>
      <c r="I1" s="26"/>
      <c r="J1" s="26"/>
      <c r="K1" s="21" t="s">
        <v>17</v>
      </c>
      <c r="L1" s="21"/>
      <c r="M1" s="21"/>
      <c r="N1" s="21"/>
      <c r="O1" s="22" t="s">
        <v>119</v>
      </c>
      <c r="P1" s="22"/>
      <c r="Q1" s="22"/>
      <c r="R1" s="23" t="s">
        <v>18</v>
      </c>
      <c r="S1" s="23"/>
      <c r="T1" s="23"/>
      <c r="U1" s="24" t="s">
        <v>19</v>
      </c>
      <c r="V1" s="24"/>
      <c r="W1" s="27" t="s">
        <v>22</v>
      </c>
      <c r="X1" s="27"/>
      <c r="Y1" s="25" t="s">
        <v>20</v>
      </c>
      <c r="Z1" s="25"/>
      <c r="AA1" s="25"/>
      <c r="AB1" s="25"/>
      <c r="AC1" s="25"/>
      <c r="AD1" s="25"/>
      <c r="AE1" s="25"/>
      <c r="AF1" s="25"/>
      <c r="AG1" s="12" t="s">
        <v>23</v>
      </c>
    </row>
    <row r="2" spans="1:39" ht="41.25" customHeight="1" x14ac:dyDescent="0.25">
      <c r="A2" s="13" t="s">
        <v>3</v>
      </c>
      <c r="B2" s="13" t="s">
        <v>0</v>
      </c>
      <c r="C2" s="13" t="s">
        <v>26</v>
      </c>
      <c r="D2" s="13" t="s">
        <v>27</v>
      </c>
      <c r="E2" s="13" t="s">
        <v>120</v>
      </c>
      <c r="F2" s="13" t="s">
        <v>1</v>
      </c>
      <c r="G2" s="13" t="s">
        <v>2</v>
      </c>
      <c r="H2" s="13" t="s">
        <v>115</v>
      </c>
      <c r="I2" s="13" t="s">
        <v>121</v>
      </c>
      <c r="J2" s="13" t="s">
        <v>4</v>
      </c>
      <c r="K2" s="33" t="s">
        <v>24</v>
      </c>
      <c r="L2" s="33" t="s">
        <v>5</v>
      </c>
      <c r="M2" s="33" t="s">
        <v>25</v>
      </c>
      <c r="N2" s="33" t="s">
        <v>21</v>
      </c>
      <c r="O2" s="33" t="s">
        <v>7</v>
      </c>
      <c r="P2" s="33" t="s">
        <v>8</v>
      </c>
      <c r="Q2" s="33" t="s">
        <v>9</v>
      </c>
      <c r="R2" s="33" t="s">
        <v>6</v>
      </c>
      <c r="S2" s="33" t="s">
        <v>10</v>
      </c>
      <c r="T2" s="33" t="s">
        <v>11</v>
      </c>
      <c r="U2" s="33" t="s">
        <v>12</v>
      </c>
      <c r="V2" s="33" t="s">
        <v>13</v>
      </c>
      <c r="W2" s="33" t="s">
        <v>122</v>
      </c>
      <c r="X2" s="2" t="s">
        <v>123</v>
      </c>
      <c r="Y2" s="2" t="s">
        <v>86</v>
      </c>
      <c r="Z2" s="2" t="s">
        <v>124</v>
      </c>
      <c r="AA2" s="2" t="s">
        <v>16</v>
      </c>
      <c r="AB2" s="2" t="s">
        <v>14</v>
      </c>
      <c r="AC2" s="2" t="s">
        <v>125</v>
      </c>
      <c r="AD2" s="2" t="s">
        <v>15</v>
      </c>
      <c r="AE2" s="2" t="s">
        <v>126</v>
      </c>
      <c r="AF2" s="2" t="s">
        <v>127</v>
      </c>
      <c r="AG2" s="12"/>
    </row>
    <row r="3" spans="1:39" ht="63" x14ac:dyDescent="0.25">
      <c r="A3" s="13">
        <v>2025</v>
      </c>
      <c r="B3" s="13" t="s">
        <v>143</v>
      </c>
      <c r="C3" s="33">
        <v>1</v>
      </c>
      <c r="D3" s="33">
        <v>5</v>
      </c>
      <c r="E3" s="13" t="s">
        <v>28</v>
      </c>
      <c r="F3" s="13" t="s">
        <v>42</v>
      </c>
      <c r="G3" s="18" t="s">
        <v>46</v>
      </c>
      <c r="H3" s="13">
        <v>0.23</v>
      </c>
      <c r="I3" s="13" t="s">
        <v>128</v>
      </c>
      <c r="J3" s="19" t="s">
        <v>44</v>
      </c>
      <c r="K3" s="29">
        <v>1029100</v>
      </c>
      <c r="L3" s="29">
        <f t="shared" ref="L3:L22" si="0">K3-M3</f>
        <v>842318.35</v>
      </c>
      <c r="M3" s="29">
        <f>K3*N3</f>
        <v>186781.65</v>
      </c>
      <c r="N3" s="30">
        <v>0.18149999999999999</v>
      </c>
      <c r="O3" s="32">
        <v>1561</v>
      </c>
      <c r="P3" s="33" t="s">
        <v>45</v>
      </c>
      <c r="Q3" s="33" t="s">
        <v>33</v>
      </c>
      <c r="R3" s="33">
        <v>2</v>
      </c>
      <c r="S3" s="33" t="s">
        <v>47</v>
      </c>
      <c r="T3" s="33" t="s">
        <v>41</v>
      </c>
      <c r="U3" s="33">
        <v>1</v>
      </c>
      <c r="V3" s="33">
        <v>2</v>
      </c>
      <c r="W3" s="33" t="s">
        <v>37</v>
      </c>
      <c r="X3" s="31" t="s">
        <v>34</v>
      </c>
      <c r="Y3" s="31" t="s">
        <v>33</v>
      </c>
      <c r="Z3" s="31" t="s">
        <v>34</v>
      </c>
      <c r="AA3" s="31" t="s">
        <v>33</v>
      </c>
      <c r="AB3" s="31" t="s">
        <v>33</v>
      </c>
      <c r="AC3" s="31" t="s">
        <v>34</v>
      </c>
      <c r="AD3" s="31"/>
      <c r="AE3" s="31" t="s">
        <v>33</v>
      </c>
      <c r="AF3" s="31" t="s">
        <v>34</v>
      </c>
      <c r="AG3" s="31">
        <v>16</v>
      </c>
      <c r="AI3" s="3"/>
    </row>
    <row r="4" spans="1:39" ht="63" x14ac:dyDescent="0.25">
      <c r="A4" s="13">
        <v>2026</v>
      </c>
      <c r="B4" s="13" t="s">
        <v>143</v>
      </c>
      <c r="C4" s="33">
        <v>2</v>
      </c>
      <c r="D4" s="33">
        <v>5</v>
      </c>
      <c r="E4" s="13" t="s">
        <v>28</v>
      </c>
      <c r="F4" s="13" t="s">
        <v>42</v>
      </c>
      <c r="G4" s="19" t="s">
        <v>43</v>
      </c>
      <c r="H4" s="13">
        <v>0.22</v>
      </c>
      <c r="I4" s="13" t="s">
        <v>128</v>
      </c>
      <c r="J4" s="19" t="s">
        <v>44</v>
      </c>
      <c r="K4" s="29">
        <v>879100</v>
      </c>
      <c r="L4" s="29">
        <f t="shared" si="0"/>
        <v>719543.35</v>
      </c>
      <c r="M4" s="29">
        <f>K4*N3</f>
        <v>159556.65</v>
      </c>
      <c r="N4" s="30">
        <v>0.18149999999999999</v>
      </c>
      <c r="O4" s="32">
        <v>1562</v>
      </c>
      <c r="P4" s="33" t="s">
        <v>45</v>
      </c>
      <c r="Q4" s="33" t="s">
        <v>33</v>
      </c>
      <c r="R4" s="33">
        <v>2</v>
      </c>
      <c r="S4" s="33" t="s">
        <v>35</v>
      </c>
      <c r="T4" s="33" t="s">
        <v>41</v>
      </c>
      <c r="U4" s="33">
        <v>1</v>
      </c>
      <c r="V4" s="33">
        <v>2</v>
      </c>
      <c r="W4" s="33" t="s">
        <v>37</v>
      </c>
      <c r="X4" s="31" t="s">
        <v>33</v>
      </c>
      <c r="Y4" s="31" t="s">
        <v>33</v>
      </c>
      <c r="Z4" s="31" t="s">
        <v>34</v>
      </c>
      <c r="AA4" s="31" t="s">
        <v>33</v>
      </c>
      <c r="AB4" s="31" t="s">
        <v>33</v>
      </c>
      <c r="AC4" s="31" t="s">
        <v>34</v>
      </c>
      <c r="AD4" s="31"/>
      <c r="AE4" s="31" t="s">
        <v>33</v>
      </c>
      <c r="AF4" s="31" t="s">
        <v>34</v>
      </c>
      <c r="AG4" s="31">
        <v>15</v>
      </c>
      <c r="AI4" s="3"/>
    </row>
    <row r="5" spans="1:39" ht="45" x14ac:dyDescent="0.25">
      <c r="A5" s="13">
        <v>2025</v>
      </c>
      <c r="B5" s="13" t="s">
        <v>143</v>
      </c>
      <c r="C5" s="33">
        <v>3</v>
      </c>
      <c r="D5" s="33">
        <v>5</v>
      </c>
      <c r="E5" s="13" t="s">
        <v>28</v>
      </c>
      <c r="F5" s="13" t="s">
        <v>30</v>
      </c>
      <c r="G5" s="16" t="s">
        <v>29</v>
      </c>
      <c r="H5" s="13">
        <v>0.26</v>
      </c>
      <c r="I5" s="16" t="s">
        <v>32</v>
      </c>
      <c r="J5" s="16" t="s">
        <v>31</v>
      </c>
      <c r="K5" s="29">
        <v>212100</v>
      </c>
      <c r="L5" s="29">
        <f t="shared" si="0"/>
        <v>173603.85</v>
      </c>
      <c r="M5" s="29">
        <v>38496.15</v>
      </c>
      <c r="N5" s="30">
        <f t="shared" ref="N5:N22" si="1">M5/K5</f>
        <v>0.18149999999999999</v>
      </c>
      <c r="O5" s="32">
        <v>8744</v>
      </c>
      <c r="P5" s="33" t="s">
        <v>54</v>
      </c>
      <c r="Q5" s="33" t="s">
        <v>34</v>
      </c>
      <c r="R5" s="33">
        <v>6</v>
      </c>
      <c r="S5" s="33" t="s">
        <v>35</v>
      </c>
      <c r="T5" s="33" t="s">
        <v>36</v>
      </c>
      <c r="U5" s="33">
        <v>9</v>
      </c>
      <c r="V5" s="33">
        <v>2</v>
      </c>
      <c r="W5" s="33" t="s">
        <v>37</v>
      </c>
      <c r="X5" s="31" t="s">
        <v>33</v>
      </c>
      <c r="Y5" s="31" t="s">
        <v>33</v>
      </c>
      <c r="Z5" s="31" t="s">
        <v>34</v>
      </c>
      <c r="AA5" s="31" t="s">
        <v>33</v>
      </c>
      <c r="AB5" s="31" t="s">
        <v>33</v>
      </c>
      <c r="AC5" s="31" t="s">
        <v>33</v>
      </c>
      <c r="AD5" s="31"/>
      <c r="AE5" s="31" t="s">
        <v>33</v>
      </c>
      <c r="AF5" s="31" t="s">
        <v>33</v>
      </c>
      <c r="AG5" s="31">
        <v>19</v>
      </c>
      <c r="AI5" s="3"/>
    </row>
    <row r="6" spans="1:39" ht="45" x14ac:dyDescent="0.25">
      <c r="A6" s="13">
        <v>2026</v>
      </c>
      <c r="B6" s="13" t="s">
        <v>143</v>
      </c>
      <c r="C6" s="33">
        <v>4</v>
      </c>
      <c r="D6" s="33">
        <v>5</v>
      </c>
      <c r="E6" s="13" t="s">
        <v>28</v>
      </c>
      <c r="F6" s="13" t="s">
        <v>48</v>
      </c>
      <c r="G6" s="16" t="s">
        <v>49</v>
      </c>
      <c r="H6" s="13">
        <v>4.4999999999999998E-2</v>
      </c>
      <c r="I6" s="13" t="s">
        <v>32</v>
      </c>
      <c r="J6" s="16" t="s">
        <v>50</v>
      </c>
      <c r="K6" s="29">
        <v>396500</v>
      </c>
      <c r="L6" s="29">
        <f t="shared" si="0"/>
        <v>324535.25</v>
      </c>
      <c r="M6" s="29">
        <f>K6*N5</f>
        <v>71964.75</v>
      </c>
      <c r="N6" s="30">
        <f t="shared" si="1"/>
        <v>0.18149999999999999</v>
      </c>
      <c r="O6" s="32">
        <v>5465</v>
      </c>
      <c r="P6" s="33" t="s">
        <v>45</v>
      </c>
      <c r="Q6" s="33" t="s">
        <v>34</v>
      </c>
      <c r="R6" s="33">
        <v>4</v>
      </c>
      <c r="S6" s="33" t="s">
        <v>47</v>
      </c>
      <c r="T6" s="33" t="s">
        <v>36</v>
      </c>
      <c r="U6" s="33">
        <v>12</v>
      </c>
      <c r="V6" s="33">
        <v>2</v>
      </c>
      <c r="W6" s="33" t="s">
        <v>37</v>
      </c>
      <c r="X6" s="31" t="s">
        <v>34</v>
      </c>
      <c r="Y6" s="31" t="s">
        <v>33</v>
      </c>
      <c r="Z6" s="31" t="s">
        <v>34</v>
      </c>
      <c r="AA6" s="31" t="s">
        <v>33</v>
      </c>
      <c r="AB6" s="31" t="s">
        <v>33</v>
      </c>
      <c r="AC6" s="31" t="s">
        <v>33</v>
      </c>
      <c r="AD6" s="31"/>
      <c r="AE6" s="31" t="s">
        <v>33</v>
      </c>
      <c r="AF6" s="31" t="s">
        <v>33</v>
      </c>
      <c r="AG6" s="31">
        <v>22</v>
      </c>
      <c r="AI6" s="3"/>
    </row>
    <row r="7" spans="1:39" ht="60" x14ac:dyDescent="0.25">
      <c r="A7" s="13">
        <v>2026</v>
      </c>
      <c r="B7" s="13" t="s">
        <v>143</v>
      </c>
      <c r="C7" s="33">
        <v>5</v>
      </c>
      <c r="D7" s="33">
        <v>5</v>
      </c>
      <c r="E7" s="13" t="s">
        <v>28</v>
      </c>
      <c r="F7" s="13" t="s">
        <v>129</v>
      </c>
      <c r="G7" s="16" t="s">
        <v>39</v>
      </c>
      <c r="H7" s="13">
        <v>0.64</v>
      </c>
      <c r="I7" s="13" t="s">
        <v>128</v>
      </c>
      <c r="J7" s="16" t="s">
        <v>40</v>
      </c>
      <c r="K7" s="29">
        <v>1572900</v>
      </c>
      <c r="L7" s="29">
        <f t="shared" si="0"/>
        <v>1287418.6499999999</v>
      </c>
      <c r="M7" s="29">
        <f>K7*N6</f>
        <v>285481.34999999998</v>
      </c>
      <c r="N7" s="30">
        <f t="shared" si="1"/>
        <v>0.18149999999999999</v>
      </c>
      <c r="O7" s="32">
        <v>8744</v>
      </c>
      <c r="P7" s="33" t="s">
        <v>54</v>
      </c>
      <c r="Q7" s="33" t="s">
        <v>34</v>
      </c>
      <c r="R7" s="33">
        <v>4</v>
      </c>
      <c r="S7" s="33" t="s">
        <v>130</v>
      </c>
      <c r="T7" s="33" t="s">
        <v>41</v>
      </c>
      <c r="U7" s="33">
        <v>33</v>
      </c>
      <c r="V7" s="33">
        <v>1</v>
      </c>
      <c r="W7" s="33" t="s">
        <v>37</v>
      </c>
      <c r="X7" s="31" t="s">
        <v>33</v>
      </c>
      <c r="Y7" s="31" t="s">
        <v>33</v>
      </c>
      <c r="Z7" s="31" t="s">
        <v>34</v>
      </c>
      <c r="AA7" s="31" t="s">
        <v>33</v>
      </c>
      <c r="AB7" s="31" t="s">
        <v>33</v>
      </c>
      <c r="AC7" s="31" t="s">
        <v>34</v>
      </c>
      <c r="AD7" s="31"/>
      <c r="AE7" s="31" t="s">
        <v>33</v>
      </c>
      <c r="AF7" s="31" t="s">
        <v>33</v>
      </c>
      <c r="AG7" s="31">
        <v>22</v>
      </c>
      <c r="AI7" s="3"/>
    </row>
    <row r="8" spans="1:39" ht="75" x14ac:dyDescent="0.25">
      <c r="A8" s="13">
        <v>2024</v>
      </c>
      <c r="B8" s="13" t="s">
        <v>82</v>
      </c>
      <c r="C8" s="33">
        <v>1</v>
      </c>
      <c r="D8" s="33">
        <v>7</v>
      </c>
      <c r="E8" s="13" t="s">
        <v>83</v>
      </c>
      <c r="F8" s="13" t="s">
        <v>88</v>
      </c>
      <c r="G8" s="13" t="s">
        <v>87</v>
      </c>
      <c r="H8" s="13">
        <v>1.46</v>
      </c>
      <c r="I8" s="13" t="s">
        <v>32</v>
      </c>
      <c r="J8" s="13" t="s">
        <v>89</v>
      </c>
      <c r="K8" s="29">
        <v>300000</v>
      </c>
      <c r="L8" s="29">
        <f t="shared" si="0"/>
        <v>245550</v>
      </c>
      <c r="M8" s="29">
        <v>54450</v>
      </c>
      <c r="N8" s="30">
        <f t="shared" si="1"/>
        <v>0.18149999999999999</v>
      </c>
      <c r="O8" s="32">
        <v>4660</v>
      </c>
      <c r="P8" s="33" t="s">
        <v>45</v>
      </c>
      <c r="Q8" s="33" t="s">
        <v>33</v>
      </c>
      <c r="R8" s="33">
        <v>4</v>
      </c>
      <c r="S8" s="33"/>
      <c r="T8" s="33" t="s">
        <v>36</v>
      </c>
      <c r="U8" s="33">
        <v>29</v>
      </c>
      <c r="V8" s="33">
        <v>1</v>
      </c>
      <c r="W8" s="33" t="s">
        <v>131</v>
      </c>
      <c r="X8" s="31" t="s">
        <v>33</v>
      </c>
      <c r="Y8" s="31" t="s">
        <v>34</v>
      </c>
      <c r="Z8" s="31" t="s">
        <v>34</v>
      </c>
      <c r="AA8" s="31" t="s">
        <v>34</v>
      </c>
      <c r="AB8" s="31" t="s">
        <v>33</v>
      </c>
      <c r="AC8" s="31" t="s">
        <v>33</v>
      </c>
      <c r="AD8" s="31">
        <v>0</v>
      </c>
      <c r="AE8" s="31" t="s">
        <v>34</v>
      </c>
      <c r="AF8" s="31" t="s">
        <v>33</v>
      </c>
      <c r="AG8" s="31">
        <v>17</v>
      </c>
      <c r="AI8" s="3"/>
    </row>
    <row r="9" spans="1:39" ht="75" x14ac:dyDescent="0.25">
      <c r="A9" s="13">
        <v>2025</v>
      </c>
      <c r="B9" s="13" t="s">
        <v>82</v>
      </c>
      <c r="C9" s="33">
        <v>2</v>
      </c>
      <c r="D9" s="33">
        <v>7</v>
      </c>
      <c r="E9" s="13" t="s">
        <v>98</v>
      </c>
      <c r="F9" s="13" t="s">
        <v>95</v>
      </c>
      <c r="G9" s="13" t="s">
        <v>99</v>
      </c>
      <c r="H9" s="13">
        <v>2.02</v>
      </c>
      <c r="I9" s="13" t="s">
        <v>32</v>
      </c>
      <c r="J9" s="16" t="s">
        <v>100</v>
      </c>
      <c r="K9" s="29">
        <v>2559566</v>
      </c>
      <c r="L9" s="29">
        <f t="shared" si="0"/>
        <v>687258</v>
      </c>
      <c r="M9" s="29">
        <v>1872308</v>
      </c>
      <c r="N9" s="34">
        <f t="shared" si="1"/>
        <v>0.7314943236470558</v>
      </c>
      <c r="O9" s="32">
        <v>9541</v>
      </c>
      <c r="P9" s="33" t="s">
        <v>45</v>
      </c>
      <c r="Q9" s="33" t="s">
        <v>33</v>
      </c>
      <c r="R9" s="33">
        <v>3</v>
      </c>
      <c r="S9" s="33" t="s">
        <v>130</v>
      </c>
      <c r="T9" s="33" t="s">
        <v>36</v>
      </c>
      <c r="U9" s="33">
        <v>41</v>
      </c>
      <c r="V9" s="33">
        <v>3</v>
      </c>
      <c r="W9" s="33" t="s">
        <v>101</v>
      </c>
      <c r="X9" s="31" t="s">
        <v>34</v>
      </c>
      <c r="Y9" s="31" t="s">
        <v>34</v>
      </c>
      <c r="Z9" s="31" t="s">
        <v>34</v>
      </c>
      <c r="AA9" s="31" t="s">
        <v>34</v>
      </c>
      <c r="AB9" s="31" t="s">
        <v>34</v>
      </c>
      <c r="AC9" s="31" t="s">
        <v>33</v>
      </c>
      <c r="AD9" s="31">
        <v>0</v>
      </c>
      <c r="AE9" s="31" t="s">
        <v>33</v>
      </c>
      <c r="AF9" s="31" t="s">
        <v>34</v>
      </c>
      <c r="AG9" s="31">
        <v>27</v>
      </c>
      <c r="AI9" s="3"/>
    </row>
    <row r="10" spans="1:39" ht="75" x14ac:dyDescent="0.25">
      <c r="A10" s="13">
        <v>2026</v>
      </c>
      <c r="B10" s="13" t="s">
        <v>82</v>
      </c>
      <c r="C10" s="33">
        <v>3</v>
      </c>
      <c r="D10" s="33">
        <v>7</v>
      </c>
      <c r="E10" s="13" t="s">
        <v>83</v>
      </c>
      <c r="F10" s="13" t="s">
        <v>71</v>
      </c>
      <c r="G10" s="13" t="s">
        <v>84</v>
      </c>
      <c r="H10" s="13">
        <v>2.57</v>
      </c>
      <c r="I10" s="13" t="s">
        <v>32</v>
      </c>
      <c r="J10" s="16" t="s">
        <v>85</v>
      </c>
      <c r="K10" s="29">
        <v>481510</v>
      </c>
      <c r="L10" s="29">
        <f t="shared" si="0"/>
        <v>394116</v>
      </c>
      <c r="M10" s="29">
        <v>87394</v>
      </c>
      <c r="N10" s="30">
        <f t="shared" si="1"/>
        <v>0.18149986500799567</v>
      </c>
      <c r="O10" s="32">
        <v>9100</v>
      </c>
      <c r="P10" s="33" t="s">
        <v>45</v>
      </c>
      <c r="Q10" s="33" t="s">
        <v>33</v>
      </c>
      <c r="R10" s="33">
        <v>4</v>
      </c>
      <c r="S10" s="33" t="s">
        <v>130</v>
      </c>
      <c r="T10" s="33" t="s">
        <v>36</v>
      </c>
      <c r="U10" s="33">
        <v>58</v>
      </c>
      <c r="V10" s="33">
        <v>2</v>
      </c>
      <c r="W10" s="33" t="s">
        <v>132</v>
      </c>
      <c r="X10" s="33" t="s">
        <v>33</v>
      </c>
      <c r="Y10" s="33" t="s">
        <v>33</v>
      </c>
      <c r="Z10" s="33" t="s">
        <v>81</v>
      </c>
      <c r="AA10" s="33" t="s">
        <v>34</v>
      </c>
      <c r="AB10" s="33" t="s">
        <v>33</v>
      </c>
      <c r="AC10" s="33" t="s">
        <v>33</v>
      </c>
      <c r="AD10" s="33">
        <v>0</v>
      </c>
      <c r="AE10" s="33" t="s">
        <v>34</v>
      </c>
      <c r="AF10" s="33" t="s">
        <v>34</v>
      </c>
      <c r="AG10" s="33">
        <v>19</v>
      </c>
      <c r="AH10" s="4"/>
      <c r="AI10" s="6"/>
      <c r="AJ10" s="4"/>
      <c r="AK10" s="4"/>
      <c r="AL10" s="4"/>
      <c r="AM10" s="4"/>
    </row>
    <row r="11" spans="1:39" ht="75" x14ac:dyDescent="0.25">
      <c r="A11" s="13" t="s">
        <v>93</v>
      </c>
      <c r="B11" s="13" t="s">
        <v>82</v>
      </c>
      <c r="C11" s="33">
        <v>4</v>
      </c>
      <c r="D11" s="33">
        <v>7</v>
      </c>
      <c r="E11" s="13" t="s">
        <v>94</v>
      </c>
      <c r="F11" s="13" t="s">
        <v>95</v>
      </c>
      <c r="G11" s="13" t="s">
        <v>96</v>
      </c>
      <c r="H11" s="13">
        <v>1.88</v>
      </c>
      <c r="I11" s="13" t="s">
        <v>32</v>
      </c>
      <c r="J11" s="16" t="s">
        <v>100</v>
      </c>
      <c r="K11" s="29">
        <v>2310620</v>
      </c>
      <c r="L11" s="29">
        <f t="shared" si="0"/>
        <v>600000</v>
      </c>
      <c r="M11" s="29">
        <v>1710620</v>
      </c>
      <c r="N11" s="34">
        <f t="shared" si="1"/>
        <v>0.74032943538963569</v>
      </c>
      <c r="O11" s="32">
        <v>8084</v>
      </c>
      <c r="P11" s="33" t="s">
        <v>45</v>
      </c>
      <c r="Q11" s="33" t="s">
        <v>33</v>
      </c>
      <c r="R11" s="33">
        <v>3</v>
      </c>
      <c r="S11" s="33" t="s">
        <v>130</v>
      </c>
      <c r="T11" s="33" t="s">
        <v>36</v>
      </c>
      <c r="U11" s="33">
        <v>40</v>
      </c>
      <c r="V11" s="33">
        <v>3</v>
      </c>
      <c r="W11" s="33" t="s">
        <v>101</v>
      </c>
      <c r="X11" s="31" t="s">
        <v>34</v>
      </c>
      <c r="Y11" s="31" t="s">
        <v>34</v>
      </c>
      <c r="Z11" s="31" t="s">
        <v>34</v>
      </c>
      <c r="AA11" s="31" t="s">
        <v>34</v>
      </c>
      <c r="AB11" s="31" t="s">
        <v>34</v>
      </c>
      <c r="AC11" s="31" t="s">
        <v>33</v>
      </c>
      <c r="AD11" s="31">
        <v>0</v>
      </c>
      <c r="AE11" s="31" t="s">
        <v>33</v>
      </c>
      <c r="AF11" s="31" t="s">
        <v>34</v>
      </c>
      <c r="AG11" s="31">
        <v>27</v>
      </c>
      <c r="AI11" s="3"/>
    </row>
    <row r="12" spans="1:39" ht="75" x14ac:dyDescent="0.25">
      <c r="A12" s="13" t="s">
        <v>38</v>
      </c>
      <c r="B12" s="13" t="s">
        <v>82</v>
      </c>
      <c r="C12" s="33">
        <v>5</v>
      </c>
      <c r="D12" s="33">
        <v>7</v>
      </c>
      <c r="E12" s="13" t="s">
        <v>103</v>
      </c>
      <c r="F12" s="13" t="s">
        <v>102</v>
      </c>
      <c r="G12" s="13" t="s">
        <v>133</v>
      </c>
      <c r="H12" s="13">
        <v>1.58</v>
      </c>
      <c r="I12" s="13" t="s">
        <v>32</v>
      </c>
      <c r="J12" s="20" t="s">
        <v>104</v>
      </c>
      <c r="K12" s="29">
        <v>555047</v>
      </c>
      <c r="L12" s="29">
        <f t="shared" si="0"/>
        <v>454306</v>
      </c>
      <c r="M12" s="29">
        <v>100741</v>
      </c>
      <c r="N12" s="30">
        <f t="shared" si="1"/>
        <v>0.18149994504969849</v>
      </c>
      <c r="O12" s="32">
        <v>8734</v>
      </c>
      <c r="P12" s="33" t="s">
        <v>45</v>
      </c>
      <c r="Q12" s="33" t="s">
        <v>33</v>
      </c>
      <c r="R12" s="33">
        <v>3</v>
      </c>
      <c r="S12" s="33" t="s">
        <v>35</v>
      </c>
      <c r="T12" s="33" t="s">
        <v>36</v>
      </c>
      <c r="U12" s="33">
        <v>14</v>
      </c>
      <c r="V12" s="33">
        <v>2</v>
      </c>
      <c r="W12" s="33" t="s">
        <v>55</v>
      </c>
      <c r="X12" s="33" t="s">
        <v>33</v>
      </c>
      <c r="Y12" s="31" t="s">
        <v>33</v>
      </c>
      <c r="Z12" s="31" t="s">
        <v>33</v>
      </c>
      <c r="AA12" s="31" t="s">
        <v>34</v>
      </c>
      <c r="AB12" s="31" t="s">
        <v>33</v>
      </c>
      <c r="AC12" s="31" t="s">
        <v>33</v>
      </c>
      <c r="AD12" s="31" t="s">
        <v>105</v>
      </c>
      <c r="AE12" s="31" t="s">
        <v>33</v>
      </c>
      <c r="AF12" s="31" t="s">
        <v>34</v>
      </c>
      <c r="AG12" s="31">
        <v>16</v>
      </c>
      <c r="AI12" s="3"/>
    </row>
    <row r="13" spans="1:39" ht="75" x14ac:dyDescent="0.25">
      <c r="A13" s="13" t="s">
        <v>57</v>
      </c>
      <c r="B13" s="13" t="s">
        <v>82</v>
      </c>
      <c r="C13" s="33">
        <v>6</v>
      </c>
      <c r="D13" s="33">
        <v>7</v>
      </c>
      <c r="E13" s="13"/>
      <c r="F13" s="13" t="s">
        <v>71</v>
      </c>
      <c r="G13" s="16" t="s">
        <v>106</v>
      </c>
      <c r="H13" s="13">
        <v>2.0099999999999998</v>
      </c>
      <c r="I13" s="13" t="s">
        <v>32</v>
      </c>
      <c r="J13" s="16" t="s">
        <v>85</v>
      </c>
      <c r="K13" s="29">
        <v>466114</v>
      </c>
      <c r="L13" s="29">
        <f t="shared" si="0"/>
        <v>381515</v>
      </c>
      <c r="M13" s="29">
        <v>84599</v>
      </c>
      <c r="N13" s="30">
        <f t="shared" si="1"/>
        <v>0.18149851753004631</v>
      </c>
      <c r="O13" s="32">
        <v>7286</v>
      </c>
      <c r="P13" s="33" t="s">
        <v>45</v>
      </c>
      <c r="Q13" s="33" t="s">
        <v>33</v>
      </c>
      <c r="R13" s="33">
        <v>2</v>
      </c>
      <c r="S13" s="33" t="s">
        <v>130</v>
      </c>
      <c r="T13" s="33" t="s">
        <v>36</v>
      </c>
      <c r="U13" s="33">
        <v>82</v>
      </c>
      <c r="V13" s="33">
        <v>2</v>
      </c>
      <c r="W13" s="33" t="s">
        <v>134</v>
      </c>
      <c r="X13" s="33" t="s">
        <v>33</v>
      </c>
      <c r="Y13" s="33" t="s">
        <v>33</v>
      </c>
      <c r="Z13" s="33" t="s">
        <v>81</v>
      </c>
      <c r="AA13" s="33" t="s">
        <v>34</v>
      </c>
      <c r="AB13" s="33" t="s">
        <v>33</v>
      </c>
      <c r="AC13" s="33" t="s">
        <v>33</v>
      </c>
      <c r="AD13" s="33">
        <v>0</v>
      </c>
      <c r="AE13" s="33" t="s">
        <v>34</v>
      </c>
      <c r="AF13" s="33" t="s">
        <v>34</v>
      </c>
      <c r="AG13" s="33">
        <v>20</v>
      </c>
      <c r="AH13" s="4"/>
      <c r="AI13" s="6"/>
      <c r="AJ13" s="4"/>
      <c r="AK13" s="4"/>
      <c r="AL13" s="4"/>
      <c r="AM13" s="4"/>
    </row>
    <row r="14" spans="1:39" ht="75" x14ac:dyDescent="0.25">
      <c r="A14" s="13" t="s">
        <v>93</v>
      </c>
      <c r="B14" s="13" t="s">
        <v>82</v>
      </c>
      <c r="C14" s="33">
        <v>7</v>
      </c>
      <c r="D14" s="33">
        <v>7</v>
      </c>
      <c r="E14" s="13" t="s">
        <v>90</v>
      </c>
      <c r="F14" s="13" t="s">
        <v>97</v>
      </c>
      <c r="G14" s="13" t="s">
        <v>91</v>
      </c>
      <c r="H14" s="13">
        <v>0.95</v>
      </c>
      <c r="I14" s="13" t="s">
        <v>32</v>
      </c>
      <c r="J14" s="16" t="s">
        <v>135</v>
      </c>
      <c r="K14" s="29">
        <v>550000</v>
      </c>
      <c r="L14" s="29">
        <f t="shared" si="0"/>
        <v>450175</v>
      </c>
      <c r="M14" s="29">
        <v>99825</v>
      </c>
      <c r="N14" s="30">
        <f t="shared" si="1"/>
        <v>0.18149999999999999</v>
      </c>
      <c r="O14" s="32">
        <v>9562</v>
      </c>
      <c r="P14" s="33" t="s">
        <v>92</v>
      </c>
      <c r="Q14" s="33" t="s">
        <v>34</v>
      </c>
      <c r="R14" s="33">
        <v>3</v>
      </c>
      <c r="S14" s="33" t="s">
        <v>130</v>
      </c>
      <c r="T14" s="33" t="s">
        <v>36</v>
      </c>
      <c r="U14" s="33">
        <v>66</v>
      </c>
      <c r="V14" s="33">
        <v>3</v>
      </c>
      <c r="W14" s="33" t="s">
        <v>136</v>
      </c>
      <c r="X14" s="31" t="s">
        <v>34</v>
      </c>
      <c r="Y14" s="31" t="s">
        <v>34</v>
      </c>
      <c r="Z14" s="31" t="s">
        <v>34</v>
      </c>
      <c r="AA14" s="31" t="s">
        <v>34</v>
      </c>
      <c r="AB14" s="31" t="s">
        <v>33</v>
      </c>
      <c r="AC14" s="31" t="s">
        <v>33</v>
      </c>
      <c r="AD14" s="31">
        <v>0</v>
      </c>
      <c r="AE14" s="31" t="s">
        <v>34</v>
      </c>
      <c r="AF14" s="31" t="s">
        <v>33</v>
      </c>
      <c r="AG14" s="31">
        <v>26</v>
      </c>
      <c r="AI14" s="3"/>
    </row>
    <row r="15" spans="1:39" ht="110.25" x14ac:dyDescent="0.25">
      <c r="A15" s="13">
        <v>2025</v>
      </c>
      <c r="B15" s="13" t="s">
        <v>142</v>
      </c>
      <c r="C15" s="33">
        <v>1</v>
      </c>
      <c r="D15" s="33">
        <v>7</v>
      </c>
      <c r="E15" s="13" t="s">
        <v>56</v>
      </c>
      <c r="F15" s="13" t="s">
        <v>137</v>
      </c>
      <c r="G15" s="16" t="s">
        <v>62</v>
      </c>
      <c r="H15" s="13">
        <v>0.13</v>
      </c>
      <c r="I15" s="13" t="s">
        <v>128</v>
      </c>
      <c r="J15" s="16" t="s">
        <v>116</v>
      </c>
      <c r="K15" s="29">
        <v>606500</v>
      </c>
      <c r="L15" s="29">
        <f t="shared" si="0"/>
        <v>496420.25</v>
      </c>
      <c r="M15" s="29">
        <f>K15*0.1815</f>
        <v>110079.75</v>
      </c>
      <c r="N15" s="30">
        <f t="shared" si="1"/>
        <v>0.18149999999999999</v>
      </c>
      <c r="O15" s="32">
        <v>2523</v>
      </c>
      <c r="P15" s="33" t="s">
        <v>138</v>
      </c>
      <c r="Q15" s="33" t="s">
        <v>33</v>
      </c>
      <c r="R15" s="33">
        <v>4</v>
      </c>
      <c r="S15" s="33" t="s">
        <v>130</v>
      </c>
      <c r="T15" s="33" t="s">
        <v>41</v>
      </c>
      <c r="U15" s="33">
        <v>4</v>
      </c>
      <c r="V15" s="33">
        <v>2</v>
      </c>
      <c r="W15" s="33" t="s">
        <v>37</v>
      </c>
      <c r="X15" s="31" t="s">
        <v>34</v>
      </c>
      <c r="Y15" s="31" t="s">
        <v>34</v>
      </c>
      <c r="Z15" s="31" t="s">
        <v>34</v>
      </c>
      <c r="AA15" s="31" t="s">
        <v>34</v>
      </c>
      <c r="AB15" s="31" t="s">
        <v>34</v>
      </c>
      <c r="AC15" s="31" t="s">
        <v>34</v>
      </c>
      <c r="AD15" s="31">
        <v>0</v>
      </c>
      <c r="AE15" s="31" t="s">
        <v>34</v>
      </c>
      <c r="AF15" s="31" t="s">
        <v>33</v>
      </c>
      <c r="AG15" s="31">
        <v>24</v>
      </c>
      <c r="AI15" s="3"/>
    </row>
    <row r="16" spans="1:39" s="4" customFormat="1" ht="94.5" x14ac:dyDescent="0.25">
      <c r="A16" s="13">
        <v>2024</v>
      </c>
      <c r="B16" s="13" t="s">
        <v>142</v>
      </c>
      <c r="C16" s="33">
        <v>2</v>
      </c>
      <c r="D16" s="33">
        <v>7</v>
      </c>
      <c r="E16" s="13" t="s">
        <v>56</v>
      </c>
      <c r="F16" s="13" t="s">
        <v>63</v>
      </c>
      <c r="G16" s="16" t="s">
        <v>139</v>
      </c>
      <c r="H16" s="13">
        <v>0.71</v>
      </c>
      <c r="I16" s="13" t="s">
        <v>32</v>
      </c>
      <c r="J16" s="16" t="s">
        <v>64</v>
      </c>
      <c r="K16" s="28">
        <v>788400</v>
      </c>
      <c r="L16" s="29">
        <f t="shared" si="0"/>
        <v>645300</v>
      </c>
      <c r="M16" s="29">
        <v>143100</v>
      </c>
      <c r="N16" s="30">
        <f t="shared" si="1"/>
        <v>0.1815068493150685</v>
      </c>
      <c r="O16" s="32">
        <v>4374</v>
      </c>
      <c r="P16" s="33" t="s">
        <v>45</v>
      </c>
      <c r="Q16" s="33" t="s">
        <v>34</v>
      </c>
      <c r="R16" s="33">
        <v>5</v>
      </c>
      <c r="S16" s="33" t="s">
        <v>35</v>
      </c>
      <c r="T16" s="33" t="s">
        <v>36</v>
      </c>
      <c r="U16" s="33">
        <v>26</v>
      </c>
      <c r="V16" s="33">
        <v>2</v>
      </c>
      <c r="W16" s="33" t="s">
        <v>132</v>
      </c>
      <c r="X16" s="31" t="s">
        <v>38</v>
      </c>
      <c r="Y16" s="31" t="s">
        <v>34</v>
      </c>
      <c r="Z16" s="31" t="s">
        <v>34</v>
      </c>
      <c r="AA16" s="31" t="s">
        <v>34</v>
      </c>
      <c r="AB16" s="31" t="s">
        <v>34</v>
      </c>
      <c r="AC16" s="31" t="s">
        <v>33</v>
      </c>
      <c r="AD16" s="31">
        <v>0</v>
      </c>
      <c r="AE16" s="31" t="s">
        <v>34</v>
      </c>
      <c r="AF16" s="31" t="s">
        <v>34</v>
      </c>
      <c r="AG16" s="31">
        <v>21</v>
      </c>
      <c r="AH16" s="1"/>
      <c r="AI16" s="3"/>
      <c r="AJ16" s="1"/>
      <c r="AK16" s="1"/>
      <c r="AL16" s="1"/>
      <c r="AM16" s="1"/>
    </row>
    <row r="17" spans="1:39" s="4" customFormat="1" ht="94.5" x14ac:dyDescent="0.25">
      <c r="A17" s="13">
        <v>2026</v>
      </c>
      <c r="B17" s="13" t="s">
        <v>142</v>
      </c>
      <c r="C17" s="33">
        <v>3</v>
      </c>
      <c r="D17" s="33">
        <v>7</v>
      </c>
      <c r="E17" s="13" t="s">
        <v>56</v>
      </c>
      <c r="F17" s="13" t="s">
        <v>66</v>
      </c>
      <c r="G17" s="16" t="s">
        <v>67</v>
      </c>
      <c r="H17" s="13">
        <v>0.33</v>
      </c>
      <c r="I17" s="13" t="s">
        <v>128</v>
      </c>
      <c r="J17" s="16" t="s">
        <v>68</v>
      </c>
      <c r="K17" s="29">
        <v>1508300</v>
      </c>
      <c r="L17" s="29">
        <f t="shared" si="0"/>
        <v>1234600</v>
      </c>
      <c r="M17" s="29">
        <v>273700</v>
      </c>
      <c r="N17" s="30">
        <f t="shared" si="1"/>
        <v>0.18146257375853611</v>
      </c>
      <c r="O17" s="32" t="s">
        <v>69</v>
      </c>
      <c r="P17" s="33" t="s">
        <v>138</v>
      </c>
      <c r="Q17" s="33" t="s">
        <v>33</v>
      </c>
      <c r="R17" s="33" t="s">
        <v>70</v>
      </c>
      <c r="S17" s="33" t="s">
        <v>61</v>
      </c>
      <c r="T17" s="33" t="s">
        <v>41</v>
      </c>
      <c r="U17" s="33">
        <v>4</v>
      </c>
      <c r="V17" s="33">
        <v>2</v>
      </c>
      <c r="W17" s="33" t="s">
        <v>37</v>
      </c>
      <c r="X17" s="31" t="s">
        <v>34</v>
      </c>
      <c r="Y17" s="31" t="s">
        <v>34</v>
      </c>
      <c r="Z17" s="31" t="s">
        <v>34</v>
      </c>
      <c r="AA17" s="31" t="s">
        <v>34</v>
      </c>
      <c r="AB17" s="31" t="s">
        <v>34</v>
      </c>
      <c r="AC17" s="31" t="s">
        <v>33</v>
      </c>
      <c r="AD17" s="31">
        <v>0</v>
      </c>
      <c r="AE17" s="31" t="s">
        <v>34</v>
      </c>
      <c r="AF17" s="31" t="s">
        <v>33</v>
      </c>
      <c r="AG17" s="31">
        <v>20</v>
      </c>
      <c r="AH17" s="1"/>
      <c r="AI17" s="3"/>
      <c r="AJ17" s="1"/>
      <c r="AK17" s="1"/>
      <c r="AL17" s="1"/>
      <c r="AM17" s="1"/>
    </row>
    <row r="18" spans="1:39" ht="78.75" x14ac:dyDescent="0.25">
      <c r="A18" s="13" t="s">
        <v>57</v>
      </c>
      <c r="B18" s="13" t="s">
        <v>142</v>
      </c>
      <c r="C18" s="33">
        <v>4</v>
      </c>
      <c r="D18" s="33">
        <v>7</v>
      </c>
      <c r="E18" s="13" t="s">
        <v>56</v>
      </c>
      <c r="F18" s="13" t="s">
        <v>71</v>
      </c>
      <c r="G18" s="13" t="s">
        <v>72</v>
      </c>
      <c r="H18" s="13">
        <v>0.55000000000000004</v>
      </c>
      <c r="I18" s="13" t="s">
        <v>32</v>
      </c>
      <c r="J18" s="16" t="s">
        <v>73</v>
      </c>
      <c r="K18" s="29">
        <v>460800</v>
      </c>
      <c r="L18" s="29">
        <f t="shared" si="0"/>
        <v>377164.79999999999</v>
      </c>
      <c r="M18" s="29">
        <f>K18*0.1815</f>
        <v>83635.199999999997</v>
      </c>
      <c r="N18" s="30">
        <f t="shared" si="1"/>
        <v>0.18149999999999999</v>
      </c>
      <c r="O18" s="32">
        <v>5159</v>
      </c>
      <c r="P18" s="33" t="s">
        <v>45</v>
      </c>
      <c r="Q18" s="33" t="s">
        <v>33</v>
      </c>
      <c r="R18" s="33">
        <v>4</v>
      </c>
      <c r="S18" s="33" t="s">
        <v>130</v>
      </c>
      <c r="T18" s="33" t="s">
        <v>36</v>
      </c>
      <c r="U18" s="33">
        <v>14</v>
      </c>
      <c r="V18" s="33">
        <v>2</v>
      </c>
      <c r="W18" s="33" t="s">
        <v>37</v>
      </c>
      <c r="X18" s="31" t="s">
        <v>33</v>
      </c>
      <c r="Y18" s="31" t="s">
        <v>34</v>
      </c>
      <c r="Z18" s="31" t="s">
        <v>34</v>
      </c>
      <c r="AA18" s="31" t="s">
        <v>34</v>
      </c>
      <c r="AB18" s="31" t="s">
        <v>33</v>
      </c>
      <c r="AC18" s="31" t="s">
        <v>33</v>
      </c>
      <c r="AD18" s="31">
        <v>0</v>
      </c>
      <c r="AE18" s="31" t="s">
        <v>34</v>
      </c>
      <c r="AF18" s="31" t="s">
        <v>33</v>
      </c>
      <c r="AG18" s="31">
        <v>21</v>
      </c>
      <c r="AI18" s="3"/>
    </row>
    <row r="19" spans="1:39" ht="78.75" x14ac:dyDescent="0.25">
      <c r="A19" s="13" t="s">
        <v>57</v>
      </c>
      <c r="B19" s="13" t="s">
        <v>142</v>
      </c>
      <c r="C19" s="33">
        <v>5</v>
      </c>
      <c r="D19" s="33">
        <v>7</v>
      </c>
      <c r="E19" s="13" t="s">
        <v>56</v>
      </c>
      <c r="F19" s="13" t="s">
        <v>74</v>
      </c>
      <c r="G19" s="13" t="s">
        <v>75</v>
      </c>
      <c r="H19" s="13">
        <v>0.27</v>
      </c>
      <c r="I19" s="13" t="s">
        <v>128</v>
      </c>
      <c r="J19" s="16" t="s">
        <v>76</v>
      </c>
      <c r="K19" s="29">
        <v>1511900</v>
      </c>
      <c r="L19" s="29">
        <f t="shared" si="0"/>
        <v>1237500</v>
      </c>
      <c r="M19" s="29">
        <v>274400</v>
      </c>
      <c r="N19" s="30">
        <f t="shared" si="1"/>
        <v>0.18149348501885046</v>
      </c>
      <c r="O19" s="32">
        <v>4744</v>
      </c>
      <c r="P19" s="33" t="s">
        <v>138</v>
      </c>
      <c r="Q19" s="33" t="s">
        <v>33</v>
      </c>
      <c r="R19" s="33" t="s">
        <v>77</v>
      </c>
      <c r="S19" s="33" t="s">
        <v>130</v>
      </c>
      <c r="T19" s="33" t="s">
        <v>41</v>
      </c>
      <c r="U19" s="33">
        <v>2</v>
      </c>
      <c r="V19" s="33">
        <v>2</v>
      </c>
      <c r="W19" s="33" t="s">
        <v>132</v>
      </c>
      <c r="X19" s="31" t="s">
        <v>34</v>
      </c>
      <c r="Y19" s="31" t="s">
        <v>34</v>
      </c>
      <c r="Z19" s="31" t="s">
        <v>34</v>
      </c>
      <c r="AA19" s="31" t="s">
        <v>34</v>
      </c>
      <c r="AB19" s="31" t="s">
        <v>34</v>
      </c>
      <c r="AC19" s="31" t="s">
        <v>34</v>
      </c>
      <c r="AD19" s="31">
        <v>3</v>
      </c>
      <c r="AE19" s="31" t="s">
        <v>34</v>
      </c>
      <c r="AF19" s="31" t="s">
        <v>33</v>
      </c>
      <c r="AG19" s="31">
        <v>20</v>
      </c>
      <c r="AI19" s="3"/>
    </row>
    <row r="20" spans="1:39" ht="110.25" x14ac:dyDescent="0.25">
      <c r="A20" s="13" t="s">
        <v>57</v>
      </c>
      <c r="B20" s="13" t="s">
        <v>142</v>
      </c>
      <c r="C20" s="33">
        <v>6</v>
      </c>
      <c r="D20" s="33">
        <v>7</v>
      </c>
      <c r="E20" s="13" t="s">
        <v>56</v>
      </c>
      <c r="F20" s="13" t="s">
        <v>58</v>
      </c>
      <c r="G20" s="16" t="s">
        <v>59</v>
      </c>
      <c r="H20" s="13">
        <v>0.57999999999999996</v>
      </c>
      <c r="I20" s="13" t="s">
        <v>128</v>
      </c>
      <c r="J20" s="16" t="s">
        <v>60</v>
      </c>
      <c r="K20" s="29">
        <v>3060000</v>
      </c>
      <c r="L20" s="29">
        <f t="shared" si="0"/>
        <v>2473300</v>
      </c>
      <c r="M20" s="29">
        <v>586700</v>
      </c>
      <c r="N20" s="30">
        <f t="shared" si="1"/>
        <v>0.19173202614379084</v>
      </c>
      <c r="O20" s="32">
        <v>528</v>
      </c>
      <c r="P20" s="33" t="s">
        <v>138</v>
      </c>
      <c r="Q20" s="33" t="s">
        <v>33</v>
      </c>
      <c r="R20" s="33">
        <v>3</v>
      </c>
      <c r="S20" s="33" t="s">
        <v>61</v>
      </c>
      <c r="T20" s="33" t="s">
        <v>41</v>
      </c>
      <c r="U20" s="33">
        <v>9</v>
      </c>
      <c r="V20" s="33">
        <v>2</v>
      </c>
      <c r="W20" s="33" t="s">
        <v>37</v>
      </c>
      <c r="X20" s="31" t="s">
        <v>34</v>
      </c>
      <c r="Y20" s="31" t="s">
        <v>34</v>
      </c>
      <c r="Z20" s="31" t="s">
        <v>34</v>
      </c>
      <c r="AA20" s="31" t="s">
        <v>34</v>
      </c>
      <c r="AB20" s="31" t="s">
        <v>34</v>
      </c>
      <c r="AC20" s="31" t="s">
        <v>34</v>
      </c>
      <c r="AD20" s="31">
        <v>1</v>
      </c>
      <c r="AE20" s="31" t="s">
        <v>34</v>
      </c>
      <c r="AF20" s="31" t="s">
        <v>33</v>
      </c>
      <c r="AG20" s="31">
        <v>18</v>
      </c>
      <c r="AI20" s="3"/>
    </row>
    <row r="21" spans="1:39" ht="94.5" x14ac:dyDescent="0.25">
      <c r="A21" s="13" t="s">
        <v>57</v>
      </c>
      <c r="B21" s="13" t="s">
        <v>142</v>
      </c>
      <c r="C21" s="33">
        <v>7</v>
      </c>
      <c r="D21" s="33">
        <v>7</v>
      </c>
      <c r="E21" s="13" t="s">
        <v>56</v>
      </c>
      <c r="F21" s="13" t="s">
        <v>78</v>
      </c>
      <c r="G21" s="13" t="s">
        <v>79</v>
      </c>
      <c r="H21" s="13">
        <v>0.39</v>
      </c>
      <c r="I21" s="13" t="s">
        <v>128</v>
      </c>
      <c r="J21" s="16" t="s">
        <v>80</v>
      </c>
      <c r="K21" s="29">
        <v>1387600</v>
      </c>
      <c r="L21" s="29">
        <f t="shared" si="0"/>
        <v>1135800</v>
      </c>
      <c r="M21" s="29">
        <v>251800</v>
      </c>
      <c r="N21" s="30">
        <f t="shared" si="1"/>
        <v>0.18146439896223696</v>
      </c>
      <c r="O21" s="32">
        <v>1050</v>
      </c>
      <c r="P21" s="33" t="s">
        <v>138</v>
      </c>
      <c r="Q21" s="33" t="s">
        <v>33</v>
      </c>
      <c r="R21" s="33">
        <v>5</v>
      </c>
      <c r="S21" s="33" t="s">
        <v>47</v>
      </c>
      <c r="T21" s="33" t="s">
        <v>41</v>
      </c>
      <c r="U21" s="33">
        <v>3</v>
      </c>
      <c r="V21" s="33">
        <v>2</v>
      </c>
      <c r="W21" s="33" t="s">
        <v>37</v>
      </c>
      <c r="X21" s="31" t="s">
        <v>34</v>
      </c>
      <c r="Y21" s="31" t="s">
        <v>34</v>
      </c>
      <c r="Z21" s="31" t="s">
        <v>34</v>
      </c>
      <c r="AA21" s="31" t="s">
        <v>34</v>
      </c>
      <c r="AB21" s="31" t="s">
        <v>34</v>
      </c>
      <c r="AC21" s="31" t="s">
        <v>34</v>
      </c>
      <c r="AD21" s="31">
        <v>3</v>
      </c>
      <c r="AE21" s="31" t="s">
        <v>34</v>
      </c>
      <c r="AF21" s="31" t="s">
        <v>81</v>
      </c>
      <c r="AG21" s="31">
        <v>16</v>
      </c>
      <c r="AI21" s="3"/>
    </row>
    <row r="22" spans="1:39" ht="78.75" x14ac:dyDescent="0.25">
      <c r="A22" s="13">
        <v>2026</v>
      </c>
      <c r="B22" s="13" t="s">
        <v>141</v>
      </c>
      <c r="C22" s="33">
        <v>1</v>
      </c>
      <c r="D22" s="33">
        <v>1</v>
      </c>
      <c r="E22" s="13" t="s">
        <v>51</v>
      </c>
      <c r="F22" s="13" t="s">
        <v>52</v>
      </c>
      <c r="G22" s="13" t="s">
        <v>65</v>
      </c>
      <c r="H22" s="13">
        <v>0.44</v>
      </c>
      <c r="I22" s="13" t="s">
        <v>128</v>
      </c>
      <c r="J22" s="16" t="s">
        <v>140</v>
      </c>
      <c r="K22" s="29">
        <v>681162</v>
      </c>
      <c r="L22" s="29">
        <f t="shared" si="0"/>
        <v>557555.3470740848</v>
      </c>
      <c r="M22" s="29">
        <f>K22*N21</f>
        <v>123606.65292591524</v>
      </c>
      <c r="N22" s="30">
        <f t="shared" si="1"/>
        <v>0.18146439896223696</v>
      </c>
      <c r="O22" s="32">
        <v>2922</v>
      </c>
      <c r="P22" s="33" t="s">
        <v>54</v>
      </c>
      <c r="Q22" s="33" t="s">
        <v>33</v>
      </c>
      <c r="R22" s="33" t="s">
        <v>53</v>
      </c>
      <c r="S22" s="33" t="s">
        <v>47</v>
      </c>
      <c r="T22" s="33" t="s">
        <v>41</v>
      </c>
      <c r="U22" s="33">
        <v>7</v>
      </c>
      <c r="V22" s="33">
        <v>2</v>
      </c>
      <c r="W22" s="33" t="s">
        <v>55</v>
      </c>
      <c r="X22" s="31" t="s">
        <v>33</v>
      </c>
      <c r="Y22" s="31" t="s">
        <v>33</v>
      </c>
      <c r="Z22" s="31" t="s">
        <v>33</v>
      </c>
      <c r="AA22" s="31" t="s">
        <v>34</v>
      </c>
      <c r="AB22" s="31" t="s">
        <v>33</v>
      </c>
      <c r="AC22" s="31" t="s">
        <v>33</v>
      </c>
      <c r="AD22" s="31" t="s">
        <v>38</v>
      </c>
      <c r="AE22" s="31" t="s">
        <v>33</v>
      </c>
      <c r="AF22" s="31" t="s">
        <v>33</v>
      </c>
      <c r="AG22" s="31">
        <v>17</v>
      </c>
      <c r="AI22" s="3"/>
    </row>
    <row r="23" spans="1:3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14"/>
      <c r="L23" s="14"/>
      <c r="M23" s="14"/>
      <c r="N23" s="9"/>
    </row>
    <row r="24" spans="1:3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14"/>
      <c r="L24" s="14"/>
      <c r="M24" s="14"/>
      <c r="N24" s="9"/>
    </row>
    <row r="25" spans="1:39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14"/>
      <c r="L25" s="14"/>
      <c r="M25" s="14"/>
      <c r="N25" s="9"/>
    </row>
    <row r="26" spans="1:39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14"/>
      <c r="L26" s="14"/>
      <c r="M26" s="14"/>
      <c r="N26" s="9"/>
    </row>
    <row r="27" spans="1:39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14"/>
      <c r="L27" s="14"/>
      <c r="M27" s="14"/>
      <c r="N27" s="9"/>
    </row>
    <row r="28" spans="1:39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14"/>
      <c r="L28" s="14"/>
      <c r="M28" s="14"/>
      <c r="N28" s="9"/>
    </row>
    <row r="29" spans="1:39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14"/>
      <c r="L29" s="14"/>
      <c r="M29" s="14"/>
      <c r="N29" s="9"/>
    </row>
    <row r="30" spans="1:39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14"/>
      <c r="L30" s="14"/>
      <c r="M30" s="14"/>
      <c r="N30" s="9"/>
    </row>
    <row r="31" spans="1:39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14"/>
      <c r="L31" s="14"/>
      <c r="M31" s="14"/>
      <c r="N31" s="9"/>
    </row>
    <row r="32" spans="1:39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14"/>
      <c r="L32" s="14"/>
      <c r="M32" s="14"/>
      <c r="N32" s="9"/>
    </row>
    <row r="33" spans="1:14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14"/>
      <c r="L33" s="14"/>
      <c r="M33" s="14"/>
      <c r="N33" s="9"/>
    </row>
    <row r="34" spans="1:14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14"/>
      <c r="L34" s="14"/>
      <c r="M34" s="14"/>
      <c r="N34" s="9"/>
    </row>
    <row r="35" spans="1:14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14"/>
      <c r="L35" s="14"/>
      <c r="M35" s="14"/>
      <c r="N35" s="9"/>
    </row>
    <row r="36" spans="1:14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14"/>
      <c r="L36" s="14"/>
      <c r="M36" s="14"/>
      <c r="N36" s="9"/>
    </row>
    <row r="37" spans="1:14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14"/>
      <c r="L37" s="14"/>
      <c r="M37" s="14"/>
      <c r="N37" s="9"/>
    </row>
    <row r="38" spans="1:14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14"/>
      <c r="L38" s="14"/>
      <c r="M38" s="14"/>
      <c r="N38" s="9"/>
    </row>
    <row r="39" spans="1:14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14"/>
      <c r="L39" s="14"/>
      <c r="M39" s="14"/>
      <c r="N39" s="9"/>
    </row>
    <row r="40" spans="1:14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14"/>
      <c r="L40" s="14"/>
      <c r="M40" s="14"/>
      <c r="N40" s="9"/>
    </row>
    <row r="41" spans="1:14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14"/>
      <c r="L41" s="14"/>
      <c r="M41" s="14"/>
      <c r="N41" s="9"/>
    </row>
    <row r="42" spans="1:14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14"/>
      <c r="L42" s="14"/>
      <c r="M42" s="14"/>
      <c r="N42" s="9"/>
    </row>
    <row r="43" spans="1:14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14"/>
      <c r="L43" s="14"/>
      <c r="M43" s="14"/>
      <c r="N43" s="9"/>
    </row>
    <row r="44" spans="1:14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14"/>
      <c r="L44" s="14"/>
      <c r="M44" s="14"/>
      <c r="N44" s="9"/>
    </row>
    <row r="45" spans="1:14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14"/>
      <c r="L45" s="14"/>
      <c r="M45" s="14"/>
      <c r="N45" s="9"/>
    </row>
    <row r="46" spans="1:14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14"/>
      <c r="L46" s="14"/>
      <c r="M46" s="14"/>
      <c r="N46" s="9"/>
    </row>
    <row r="47" spans="1:1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14"/>
      <c r="L47" s="14"/>
      <c r="M47" s="14"/>
      <c r="N47" s="9"/>
    </row>
    <row r="48" spans="1:14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14"/>
      <c r="L48" s="14"/>
      <c r="M48" s="14"/>
      <c r="N48" s="9"/>
    </row>
    <row r="49" spans="1:14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14"/>
      <c r="L49" s="14"/>
      <c r="M49" s="14"/>
      <c r="N49" s="9"/>
    </row>
    <row r="50" spans="1:14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14"/>
      <c r="L50" s="14"/>
      <c r="M50" s="14"/>
      <c r="N50" s="9"/>
    </row>
    <row r="51" spans="1:14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14"/>
      <c r="L51" s="14"/>
      <c r="M51" s="14"/>
      <c r="N51" s="9"/>
    </row>
    <row r="52" spans="1:14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14"/>
      <c r="L52" s="14"/>
      <c r="M52" s="14"/>
      <c r="N52" s="9"/>
    </row>
    <row r="53" spans="1:14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14"/>
      <c r="L53" s="14"/>
      <c r="M53" s="14"/>
      <c r="N53" s="9"/>
    </row>
    <row r="54" spans="1:14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14"/>
      <c r="L54" s="14"/>
      <c r="M54" s="14"/>
      <c r="N54" s="9"/>
    </row>
    <row r="55" spans="1:14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14"/>
      <c r="L55" s="14"/>
      <c r="M55" s="14"/>
      <c r="N55" s="9"/>
    </row>
    <row r="56" spans="1:14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14"/>
      <c r="L56" s="14"/>
      <c r="M56" s="14"/>
      <c r="N56" s="9"/>
    </row>
    <row r="57" spans="1:14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14"/>
      <c r="L57" s="14"/>
      <c r="M57" s="14"/>
      <c r="N57" s="9"/>
    </row>
    <row r="58" spans="1:14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14"/>
      <c r="L58" s="14"/>
      <c r="M58" s="14"/>
      <c r="N58" s="9"/>
    </row>
    <row r="59" spans="1:14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14"/>
      <c r="L59" s="14"/>
      <c r="M59" s="14"/>
      <c r="N59" s="9"/>
    </row>
    <row r="60" spans="1:14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14"/>
      <c r="L60" s="14"/>
      <c r="M60" s="14"/>
      <c r="N60" s="9"/>
    </row>
    <row r="61" spans="1:14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14"/>
      <c r="L61" s="14"/>
      <c r="M61" s="14"/>
      <c r="N61" s="9"/>
    </row>
    <row r="62" spans="1:14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14"/>
      <c r="L62" s="14"/>
      <c r="M62" s="14"/>
      <c r="N62" s="9"/>
    </row>
    <row r="63" spans="1:14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14"/>
      <c r="L63" s="14"/>
      <c r="M63" s="14"/>
      <c r="N63" s="9"/>
    </row>
    <row r="64" spans="1:14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14"/>
      <c r="L64" s="14"/>
      <c r="M64" s="14"/>
      <c r="N64" s="9"/>
    </row>
    <row r="65" spans="1:14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14"/>
      <c r="L65" s="14"/>
      <c r="M65" s="14"/>
      <c r="N65" s="9"/>
    </row>
    <row r="66" spans="1:14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14"/>
      <c r="L66" s="14"/>
      <c r="M66" s="14"/>
      <c r="N66" s="9"/>
    </row>
    <row r="67" spans="1:14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14"/>
      <c r="L67" s="14"/>
      <c r="M67" s="14"/>
      <c r="N67" s="9"/>
    </row>
    <row r="68" spans="1:14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14"/>
      <c r="L68" s="14"/>
      <c r="M68" s="14"/>
      <c r="N68" s="9"/>
    </row>
    <row r="69" spans="1:14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14"/>
      <c r="L69" s="14"/>
      <c r="M69" s="14"/>
      <c r="N69" s="9"/>
    </row>
    <row r="70" spans="1:14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14"/>
      <c r="L70" s="14"/>
      <c r="M70" s="14"/>
      <c r="N70" s="9"/>
    </row>
    <row r="71" spans="1:14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14"/>
      <c r="L71" s="14"/>
      <c r="M71" s="14"/>
      <c r="N71" s="9"/>
    </row>
    <row r="72" spans="1:14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14"/>
      <c r="L72" s="14"/>
      <c r="M72" s="14"/>
      <c r="N72" s="9"/>
    </row>
    <row r="73" spans="1:14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14"/>
      <c r="L73" s="14"/>
      <c r="M73" s="14"/>
      <c r="N73" s="9"/>
    </row>
    <row r="74" spans="1:14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14"/>
      <c r="L74" s="14"/>
      <c r="M74" s="14"/>
      <c r="N74" s="9"/>
    </row>
    <row r="75" spans="1:14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14"/>
      <c r="L75" s="14"/>
      <c r="M75" s="14"/>
      <c r="N75" s="9"/>
    </row>
    <row r="76" spans="1:14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14"/>
      <c r="L76" s="14"/>
      <c r="M76" s="14"/>
      <c r="N76" s="9"/>
    </row>
    <row r="77" spans="1:14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14"/>
      <c r="L77" s="14"/>
      <c r="M77" s="14"/>
      <c r="N77" s="9"/>
    </row>
    <row r="78" spans="1:14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14"/>
      <c r="L78" s="14"/>
      <c r="M78" s="14"/>
      <c r="N78" s="9"/>
    </row>
    <row r="79" spans="1:14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14"/>
      <c r="L79" s="14"/>
      <c r="M79" s="14"/>
      <c r="N79" s="9"/>
    </row>
    <row r="80" spans="1:14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14"/>
      <c r="L80" s="14"/>
      <c r="M80" s="14"/>
      <c r="N80" s="9"/>
    </row>
    <row r="81" spans="1:14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14"/>
      <c r="L81" s="14"/>
      <c r="M81" s="14"/>
      <c r="N81" s="9"/>
    </row>
    <row r="82" spans="1:14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14"/>
      <c r="L82" s="14"/>
      <c r="M82" s="14"/>
      <c r="N82" s="9"/>
    </row>
    <row r="83" spans="1:14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14"/>
      <c r="L83" s="14"/>
      <c r="M83" s="14"/>
      <c r="N83" s="9"/>
    </row>
    <row r="84" spans="1:14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14"/>
      <c r="L84" s="14"/>
      <c r="M84" s="14"/>
      <c r="N84" s="9"/>
    </row>
    <row r="85" spans="1:14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14"/>
      <c r="L85" s="14"/>
      <c r="M85" s="14"/>
      <c r="N85" s="9"/>
    </row>
    <row r="86" spans="1:14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14"/>
      <c r="L86" s="14"/>
      <c r="M86" s="14"/>
      <c r="N86" s="9"/>
    </row>
    <row r="87" spans="1:14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14"/>
      <c r="L87" s="14"/>
      <c r="M87" s="14"/>
      <c r="N87" s="9"/>
    </row>
    <row r="88" spans="1:14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14"/>
      <c r="L88" s="14"/>
      <c r="M88" s="14"/>
      <c r="N88" s="9"/>
    </row>
    <row r="89" spans="1:14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14"/>
      <c r="L89" s="14"/>
      <c r="M89" s="14"/>
      <c r="N89" s="9"/>
    </row>
    <row r="90" spans="1:14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14"/>
      <c r="L90" s="14"/>
      <c r="M90" s="14"/>
      <c r="N90" s="9"/>
    </row>
    <row r="91" spans="1:14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14"/>
      <c r="L91" s="14"/>
      <c r="M91" s="14"/>
      <c r="N91" s="9"/>
    </row>
    <row r="92" spans="1:14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14"/>
      <c r="L92" s="14"/>
      <c r="M92" s="14"/>
      <c r="N92" s="9"/>
    </row>
    <row r="93" spans="1:14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14"/>
      <c r="L93" s="14"/>
      <c r="M93" s="14"/>
      <c r="N93" s="9"/>
    </row>
    <row r="94" spans="1:14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14"/>
      <c r="L94" s="14"/>
      <c r="M94" s="14"/>
      <c r="N94" s="9"/>
    </row>
    <row r="95" spans="1:14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14"/>
      <c r="L95" s="14"/>
      <c r="M95" s="14"/>
      <c r="N95" s="9"/>
    </row>
    <row r="96" spans="1:14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14"/>
      <c r="L96" s="14"/>
      <c r="M96" s="14"/>
      <c r="N96" s="9"/>
    </row>
    <row r="97" spans="1:14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14"/>
      <c r="L97" s="14"/>
      <c r="M97" s="14"/>
      <c r="N97" s="9"/>
    </row>
    <row r="98" spans="1:14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14"/>
      <c r="L98" s="14"/>
      <c r="M98" s="14"/>
      <c r="N98" s="9"/>
    </row>
    <row r="99" spans="1:14" x14ac:dyDescent="0.25">
      <c r="K99" s="17"/>
      <c r="L99" s="17"/>
      <c r="M99" s="17"/>
    </row>
    <row r="100" spans="1:14" x14ac:dyDescent="0.25">
      <c r="K100" s="17"/>
      <c r="L100" s="17"/>
      <c r="M100" s="17"/>
    </row>
    <row r="101" spans="1:14" x14ac:dyDescent="0.25">
      <c r="K101" s="17"/>
      <c r="L101" s="17"/>
      <c r="M101" s="17"/>
    </row>
    <row r="102" spans="1:14" x14ac:dyDescent="0.25">
      <c r="K102" s="17"/>
      <c r="L102" s="17"/>
      <c r="M102" s="17"/>
    </row>
    <row r="103" spans="1:14" x14ac:dyDescent="0.25">
      <c r="K103" s="17"/>
      <c r="L103" s="17"/>
      <c r="M103" s="17"/>
    </row>
    <row r="104" spans="1:14" x14ac:dyDescent="0.25">
      <c r="K104" s="17"/>
      <c r="L104" s="17"/>
      <c r="M104" s="17"/>
    </row>
    <row r="105" spans="1:14" x14ac:dyDescent="0.25">
      <c r="K105" s="17"/>
      <c r="L105" s="17"/>
      <c r="M105" s="17"/>
    </row>
    <row r="106" spans="1:14" x14ac:dyDescent="0.25">
      <c r="K106" s="17"/>
      <c r="L106" s="17"/>
      <c r="M106" s="17"/>
    </row>
    <row r="107" spans="1:14" x14ac:dyDescent="0.25">
      <c r="K107" s="17"/>
      <c r="L107" s="17"/>
      <c r="M107" s="17"/>
    </row>
    <row r="108" spans="1:14" x14ac:dyDescent="0.25">
      <c r="K108" s="17"/>
      <c r="L108" s="17"/>
      <c r="M108" s="17"/>
    </row>
    <row r="109" spans="1:14" x14ac:dyDescent="0.25">
      <c r="K109" s="17"/>
      <c r="L109" s="17"/>
      <c r="M109" s="17"/>
    </row>
    <row r="110" spans="1:14" x14ac:dyDescent="0.25">
      <c r="K110" s="17"/>
      <c r="L110" s="17"/>
      <c r="M110" s="17"/>
    </row>
    <row r="111" spans="1:14" x14ac:dyDescent="0.25">
      <c r="K111" s="17"/>
      <c r="L111" s="17"/>
      <c r="M111" s="17"/>
    </row>
    <row r="112" spans="1:14" x14ac:dyDescent="0.25">
      <c r="K112" s="17"/>
      <c r="L112" s="17"/>
      <c r="M112" s="17"/>
    </row>
    <row r="113" spans="11:13" x14ac:dyDescent="0.25">
      <c r="K113" s="17"/>
      <c r="L113" s="17"/>
      <c r="M113" s="17"/>
    </row>
    <row r="114" spans="11:13" x14ac:dyDescent="0.25">
      <c r="K114" s="17"/>
      <c r="L114" s="17"/>
      <c r="M114" s="17"/>
    </row>
    <row r="115" spans="11:13" x14ac:dyDescent="0.25">
      <c r="K115" s="17"/>
      <c r="L115" s="17"/>
      <c r="M115" s="17"/>
    </row>
    <row r="116" spans="11:13" x14ac:dyDescent="0.25">
      <c r="K116" s="17"/>
      <c r="L116" s="17"/>
      <c r="M116" s="17"/>
    </row>
    <row r="117" spans="11:13" x14ac:dyDescent="0.25">
      <c r="K117" s="17"/>
      <c r="L117" s="17"/>
      <c r="M117" s="17"/>
    </row>
    <row r="118" spans="11:13" x14ac:dyDescent="0.25">
      <c r="K118" s="17"/>
      <c r="L118" s="17"/>
      <c r="M118" s="17"/>
    </row>
    <row r="119" spans="11:13" x14ac:dyDescent="0.25">
      <c r="K119" s="17"/>
      <c r="L119" s="17"/>
      <c r="M119" s="17"/>
    </row>
    <row r="120" spans="11:13" x14ac:dyDescent="0.25">
      <c r="K120" s="17"/>
      <c r="L120" s="17"/>
      <c r="M120" s="17"/>
    </row>
    <row r="121" spans="11:13" x14ac:dyDescent="0.25">
      <c r="K121" s="17"/>
      <c r="L121" s="17"/>
      <c r="M121" s="17"/>
    </row>
    <row r="122" spans="11:13" x14ac:dyDescent="0.25">
      <c r="K122" s="17"/>
      <c r="L122" s="17"/>
      <c r="M122" s="17"/>
    </row>
    <row r="123" spans="11:13" x14ac:dyDescent="0.25">
      <c r="K123" s="17"/>
      <c r="L123" s="17"/>
      <c r="M123" s="17"/>
    </row>
    <row r="124" spans="11:13" x14ac:dyDescent="0.25">
      <c r="K124" s="17"/>
      <c r="L124" s="17"/>
      <c r="M124" s="17"/>
    </row>
    <row r="125" spans="11:13" x14ac:dyDescent="0.25">
      <c r="K125" s="17"/>
      <c r="L125" s="17"/>
      <c r="M125" s="17"/>
    </row>
    <row r="126" spans="11:13" x14ac:dyDescent="0.25">
      <c r="K126" s="17"/>
      <c r="L126" s="17"/>
      <c r="M126" s="17"/>
    </row>
    <row r="127" spans="11:13" x14ac:dyDescent="0.25">
      <c r="K127" s="17"/>
      <c r="L127" s="17"/>
      <c r="M127" s="17"/>
    </row>
    <row r="128" spans="11:13" x14ac:dyDescent="0.25">
      <c r="K128" s="17"/>
      <c r="L128" s="17"/>
      <c r="M128" s="17"/>
    </row>
    <row r="129" spans="11:13" x14ac:dyDescent="0.25">
      <c r="K129" s="17"/>
      <c r="L129" s="17"/>
      <c r="M129" s="17"/>
    </row>
    <row r="130" spans="11:13" x14ac:dyDescent="0.25">
      <c r="K130" s="17"/>
      <c r="L130" s="17"/>
      <c r="M130" s="17"/>
    </row>
    <row r="131" spans="11:13" x14ac:dyDescent="0.25">
      <c r="K131" s="17"/>
      <c r="L131" s="17"/>
      <c r="M131" s="17"/>
    </row>
    <row r="132" spans="11:13" x14ac:dyDescent="0.25">
      <c r="K132" s="17"/>
      <c r="L132" s="17"/>
      <c r="M132" s="17"/>
    </row>
    <row r="133" spans="11:13" x14ac:dyDescent="0.25">
      <c r="K133" s="17"/>
      <c r="L133" s="17"/>
      <c r="M133" s="17"/>
    </row>
    <row r="134" spans="11:13" x14ac:dyDescent="0.25">
      <c r="K134" s="17"/>
      <c r="L134" s="17"/>
      <c r="M134" s="17"/>
    </row>
    <row r="135" spans="11:13" x14ac:dyDescent="0.25">
      <c r="K135" s="17"/>
      <c r="L135" s="17"/>
      <c r="M135" s="17"/>
    </row>
    <row r="136" spans="11:13" x14ac:dyDescent="0.25">
      <c r="K136" s="17"/>
      <c r="L136" s="17"/>
      <c r="M136" s="17"/>
    </row>
    <row r="137" spans="11:13" x14ac:dyDescent="0.25">
      <c r="K137" s="17"/>
      <c r="L137" s="17"/>
      <c r="M137" s="17"/>
    </row>
    <row r="138" spans="11:13" x14ac:dyDescent="0.25">
      <c r="K138" s="17"/>
      <c r="L138" s="17"/>
      <c r="M138" s="17"/>
    </row>
    <row r="139" spans="11:13" x14ac:dyDescent="0.25">
      <c r="K139" s="17"/>
      <c r="L139" s="17"/>
      <c r="M139" s="17"/>
    </row>
    <row r="140" spans="11:13" x14ac:dyDescent="0.25">
      <c r="K140" s="17"/>
      <c r="L140" s="17"/>
      <c r="M140" s="17"/>
    </row>
    <row r="141" spans="11:13" x14ac:dyDescent="0.25">
      <c r="K141" s="17"/>
      <c r="L141" s="17"/>
      <c r="M141" s="17"/>
    </row>
    <row r="142" spans="11:13" x14ac:dyDescent="0.25">
      <c r="K142" s="17"/>
      <c r="L142" s="17"/>
      <c r="M142" s="17"/>
    </row>
    <row r="143" spans="11:13" x14ac:dyDescent="0.25">
      <c r="K143" s="17"/>
      <c r="L143" s="17"/>
      <c r="M143" s="17"/>
    </row>
    <row r="144" spans="11:13" x14ac:dyDescent="0.25">
      <c r="K144" s="17"/>
      <c r="L144" s="17"/>
      <c r="M144" s="17"/>
    </row>
    <row r="145" spans="11:13" x14ac:dyDescent="0.25">
      <c r="K145" s="17"/>
      <c r="L145" s="17"/>
      <c r="M145" s="17"/>
    </row>
    <row r="146" spans="11:13" x14ac:dyDescent="0.25">
      <c r="K146" s="17"/>
      <c r="L146" s="17"/>
      <c r="M146" s="17"/>
    </row>
    <row r="147" spans="11:13" x14ac:dyDescent="0.25">
      <c r="K147" s="17"/>
      <c r="L147" s="17"/>
      <c r="M147" s="17"/>
    </row>
    <row r="148" spans="11:13" x14ac:dyDescent="0.25">
      <c r="K148" s="17"/>
      <c r="L148" s="17"/>
      <c r="M148" s="17"/>
    </row>
    <row r="149" spans="11:13" x14ac:dyDescent="0.25">
      <c r="K149" s="17"/>
      <c r="L149" s="17"/>
      <c r="M149" s="17"/>
    </row>
    <row r="150" spans="11:13" x14ac:dyDescent="0.25">
      <c r="K150" s="17"/>
      <c r="L150" s="17"/>
      <c r="M150" s="17"/>
    </row>
    <row r="151" spans="11:13" x14ac:dyDescent="0.25">
      <c r="K151" s="17"/>
      <c r="L151" s="17"/>
      <c r="M151" s="17"/>
    </row>
    <row r="152" spans="11:13" x14ac:dyDescent="0.25">
      <c r="K152" s="17"/>
      <c r="L152" s="17"/>
      <c r="M152" s="17"/>
    </row>
    <row r="153" spans="11:13" x14ac:dyDescent="0.25">
      <c r="K153" s="17"/>
      <c r="L153" s="17"/>
      <c r="M153" s="17"/>
    </row>
    <row r="154" spans="11:13" x14ac:dyDescent="0.25">
      <c r="K154" s="17"/>
      <c r="L154" s="17"/>
      <c r="M154" s="17"/>
    </row>
    <row r="155" spans="11:13" x14ac:dyDescent="0.25">
      <c r="K155" s="17"/>
      <c r="L155" s="17"/>
      <c r="M155" s="17"/>
    </row>
    <row r="156" spans="11:13" x14ac:dyDescent="0.25">
      <c r="K156" s="17"/>
      <c r="L156" s="17"/>
      <c r="M156" s="17"/>
    </row>
    <row r="157" spans="11:13" x14ac:dyDescent="0.25">
      <c r="K157" s="17"/>
      <c r="L157" s="17"/>
      <c r="M157" s="17"/>
    </row>
    <row r="158" spans="11:13" x14ac:dyDescent="0.25">
      <c r="K158" s="17"/>
      <c r="L158" s="17"/>
      <c r="M158" s="17"/>
    </row>
    <row r="159" spans="11:13" x14ac:dyDescent="0.25">
      <c r="K159" s="17"/>
      <c r="L159" s="17"/>
      <c r="M159" s="17"/>
    </row>
    <row r="160" spans="11:13" x14ac:dyDescent="0.25">
      <c r="K160" s="17"/>
      <c r="L160" s="17"/>
      <c r="M160" s="17"/>
    </row>
    <row r="161" spans="11:13" x14ac:dyDescent="0.25">
      <c r="K161" s="17"/>
      <c r="L161" s="17"/>
      <c r="M161" s="17"/>
    </row>
    <row r="162" spans="11:13" x14ac:dyDescent="0.25">
      <c r="K162" s="17"/>
      <c r="L162" s="17"/>
      <c r="M162" s="17"/>
    </row>
    <row r="163" spans="11:13" x14ac:dyDescent="0.25">
      <c r="K163" s="17"/>
      <c r="L163" s="17"/>
      <c r="M163" s="17"/>
    </row>
    <row r="164" spans="11:13" x14ac:dyDescent="0.25">
      <c r="K164" s="17"/>
      <c r="L164" s="17"/>
      <c r="M164" s="17"/>
    </row>
  </sheetData>
  <mergeCells count="7">
    <mergeCell ref="A1:J1"/>
    <mergeCell ref="W1:X1"/>
    <mergeCell ref="K1:N1"/>
    <mergeCell ref="O1:Q1"/>
    <mergeCell ref="R1:T1"/>
    <mergeCell ref="U1:V1"/>
    <mergeCell ref="Y1:AF1"/>
  </mergeCells>
  <pageMargins left="0.25" right="0.25" top="0.75" bottom="0.75" header="0.3" footer="0.3"/>
  <pageSetup paperSize="17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13" sqref="A13"/>
    </sheetView>
  </sheetViews>
  <sheetFormatPr defaultRowHeight="15" x14ac:dyDescent="0.25"/>
  <cols>
    <col min="1" max="1" width="14.85546875" bestFit="1" customWidth="1"/>
    <col min="2" max="4" width="14.28515625" bestFit="1" customWidth="1"/>
    <col min="5" max="5" width="12.28515625" bestFit="1" customWidth="1"/>
    <col min="6" max="6" width="16" customWidth="1"/>
  </cols>
  <sheetData>
    <row r="1" spans="1:6" x14ac:dyDescent="0.25">
      <c r="B1">
        <v>2024</v>
      </c>
      <c r="C1">
        <v>2025</v>
      </c>
      <c r="D1">
        <v>2026</v>
      </c>
      <c r="E1" t="s">
        <v>113</v>
      </c>
      <c r="F1" s="5"/>
    </row>
    <row r="2" spans="1:6" x14ac:dyDescent="0.25">
      <c r="A2" t="s">
        <v>110</v>
      </c>
      <c r="B2" s="10">
        <f>1023000+25000</f>
        <v>1048000</v>
      </c>
      <c r="C2" s="10">
        <f>1043000+25000</f>
        <v>1068000</v>
      </c>
      <c r="D2" s="10">
        <f>1062000+26000</f>
        <v>1088000</v>
      </c>
      <c r="E2" s="10">
        <f>SUM(B2:D2)</f>
        <v>3204000</v>
      </c>
      <c r="F2" s="5"/>
    </row>
    <row r="3" spans="1:6" x14ac:dyDescent="0.25">
      <c r="A3" t="s">
        <v>111</v>
      </c>
      <c r="B3" s="10">
        <f>'Project Summary'!L8+'Project Summary'!L16</f>
        <v>890850</v>
      </c>
      <c r="C3" s="10">
        <v>2199600.4500000002</v>
      </c>
      <c r="D3" s="10">
        <f>'Project Summary'!L4+'Project Summary'!L6+'Project Summary'!L7+'Project Summary'!L10+'Project Summary'!L17+'Project Summary'!L22</f>
        <v>4517768.5970740849</v>
      </c>
      <c r="E3" s="10">
        <f>SUM(B3:D3)</f>
        <v>7608219.0470740851</v>
      </c>
      <c r="F3" s="5"/>
    </row>
    <row r="4" spans="1:6" x14ac:dyDescent="0.25">
      <c r="A4" t="s">
        <v>112</v>
      </c>
      <c r="B4" s="10">
        <f>B2-B3</f>
        <v>157150</v>
      </c>
      <c r="C4" s="10">
        <f t="shared" ref="C4:D4" si="0">C2-C3</f>
        <v>-1131600.4500000002</v>
      </c>
      <c r="D4" s="10">
        <f t="shared" si="0"/>
        <v>-3429768.5970740849</v>
      </c>
      <c r="E4" s="10">
        <f>SUM(B4:D4)</f>
        <v>-4404219.0470740851</v>
      </c>
      <c r="F4" s="5"/>
    </row>
    <row r="5" spans="1:6" x14ac:dyDescent="0.25">
      <c r="F5" s="5"/>
    </row>
    <row r="6" spans="1:6" x14ac:dyDescent="0.25">
      <c r="B6" s="10"/>
      <c r="F6" s="5"/>
    </row>
    <row r="7" spans="1:6" x14ac:dyDescent="0.25">
      <c r="A7" t="s">
        <v>107</v>
      </c>
      <c r="B7" s="8">
        <f>SUM('Project Summary'!L3:L24)</f>
        <v>14717979.847074084</v>
      </c>
      <c r="D7" s="7"/>
      <c r="F7" s="5"/>
    </row>
    <row r="8" spans="1:6" x14ac:dyDescent="0.25">
      <c r="A8" t="s">
        <v>114</v>
      </c>
      <c r="B8" s="8">
        <f>'Project Summary'!L11+'Project Summary'!L12+'Project Summary'!L13+'Project Summary'!L14+'Project Summary'!L18+'Project Summary'!L19+'Project Summary'!L20+'Project Summary'!L21</f>
        <v>7109760.7999999998</v>
      </c>
      <c r="F8" s="5"/>
    </row>
    <row r="9" spans="1:6" x14ac:dyDescent="0.25">
      <c r="F9" s="5"/>
    </row>
    <row r="10" spans="1:6" x14ac:dyDescent="0.25">
      <c r="A10" t="s">
        <v>108</v>
      </c>
      <c r="B10" s="8">
        <v>3204000</v>
      </c>
      <c r="F10" s="5"/>
    </row>
    <row r="11" spans="1:6" x14ac:dyDescent="0.25">
      <c r="A11" t="s">
        <v>112</v>
      </c>
      <c r="B11" s="10">
        <f>B7-B10</f>
        <v>11513979.847074084</v>
      </c>
      <c r="F11" s="5"/>
    </row>
    <row r="12" spans="1:6" x14ac:dyDescent="0.25">
      <c r="B12" s="7"/>
      <c r="F12" s="5"/>
    </row>
    <row r="13" spans="1:6" x14ac:dyDescent="0.25">
      <c r="A13" t="s">
        <v>109</v>
      </c>
      <c r="B13" s="10">
        <f ca="1">SUMIF('Project Summary'!C3:C22,1,'Project Summary'!L16:L22)</f>
        <v>1781100</v>
      </c>
      <c r="F13" s="11"/>
    </row>
    <row r="14" spans="1:6" x14ac:dyDescent="0.25">
      <c r="A14" t="s">
        <v>117</v>
      </c>
      <c r="B14" s="10">
        <f ca="1">(SUMIF('Project Summary'!C3:C22,2,'Project Summary'!L3:L22))+B13</f>
        <v>3833201.35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Project Summary</vt:lpstr>
      <vt:lpstr>Financial Summary</vt:lpstr>
      <vt:lpstr>'Project Summary'!Print_Area</vt:lpstr>
      <vt:lpstr>'Project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bkovnat</dc:creator>
  <cp:lastModifiedBy>bkovnat</cp:lastModifiedBy>
  <cp:lastPrinted>2021-11-05T12:27:44Z</cp:lastPrinted>
  <dcterms:created xsi:type="dcterms:W3CDTF">2021-08-30T14:30:00Z</dcterms:created>
  <dcterms:modified xsi:type="dcterms:W3CDTF">2021-11-05T14:41:32Z</dcterms:modified>
</cp:coreProperties>
</file>