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9440" windowHeight="14280" activeTab="5"/>
  </bookViews>
  <sheets>
    <sheet name="READ ME" sheetId="1" r:id="rId1"/>
    <sheet name="A-Current Load" sheetId="2" r:id="rId2"/>
    <sheet name="B-Future Load" sheetId="4" r:id="rId3"/>
    <sheet name="C-Apply BMP" sheetId="5" r:id="rId4"/>
    <sheet name="D-Print Results" sheetId="6" r:id="rId5"/>
    <sheet name="LOOKUP TABLES" sheetId="3" r:id="rId6"/>
  </sheets>
  <externalReferences>
    <externalReference r:id="rId7"/>
  </externalReferences>
  <definedNames>
    <definedName name="BMPs">'[1]LOOK-UP TABLES'!$B$9:$B$13</definedName>
  </definedNames>
  <calcPr calcId="125725"/>
</workbook>
</file>

<file path=xl/calcChain.xml><?xml version="1.0" encoding="utf-8"?>
<calcChain xmlns="http://schemas.openxmlformats.org/spreadsheetml/2006/main">
  <c r="F18" i="2"/>
  <c r="O21" i="4"/>
  <c r="O20"/>
  <c r="O19"/>
  <c r="O18"/>
  <c r="O17"/>
  <c r="O16"/>
  <c r="O15"/>
  <c r="O14"/>
  <c r="P20" i="2"/>
  <c r="P19"/>
  <c r="P18"/>
  <c r="P17"/>
  <c r="P16"/>
  <c r="P15"/>
  <c r="P14"/>
  <c r="P13"/>
  <c r="U25" i="5"/>
  <c r="U24"/>
  <c r="U23"/>
  <c r="U22"/>
  <c r="U21"/>
  <c r="U20"/>
  <c r="U19"/>
  <c r="U18"/>
  <c r="E28" i="4"/>
  <c r="D34" i="3" l="1"/>
  <c r="D30"/>
  <c r="D29"/>
  <c r="D28"/>
  <c r="D27"/>
  <c r="D31"/>
  <c r="H72" i="5"/>
  <c r="G72"/>
  <c r="D26" i="6" s="1"/>
  <c r="F72" i="5"/>
  <c r="E72"/>
  <c r="D24" i="6" s="1"/>
  <c r="D5"/>
  <c r="E13" i="2" l="1"/>
  <c r="H9" i="3"/>
  <c r="G74" i="5" s="1"/>
  <c r="E26" i="6" s="1"/>
  <c r="H7" i="3"/>
  <c r="E74" i="5" s="1"/>
  <c r="E24" i="6" s="1"/>
  <c r="D25"/>
  <c r="D27"/>
  <c r="H27" i="4"/>
  <c r="H17" i="2"/>
  <c r="G15" i="4"/>
  <c r="E15"/>
  <c r="H14" i="2"/>
  <c r="H13"/>
  <c r="G20"/>
  <c r="G13"/>
  <c r="F14"/>
  <c r="F13"/>
  <c r="H66" i="4"/>
  <c r="H16"/>
  <c r="H17"/>
  <c r="H18"/>
  <c r="H19"/>
  <c r="H20"/>
  <c r="H21"/>
  <c r="H22"/>
  <c r="H23"/>
  <c r="H24"/>
  <c r="H25"/>
  <c r="H26"/>
  <c r="H28"/>
  <c r="H29"/>
  <c r="H30"/>
  <c r="H31"/>
  <c r="H32"/>
  <c r="H33"/>
  <c r="H34"/>
  <c r="H35"/>
  <c r="H36"/>
  <c r="H37"/>
  <c r="H38"/>
  <c r="H39"/>
  <c r="H40"/>
  <c r="H41"/>
  <c r="H42"/>
  <c r="H43"/>
  <c r="H44"/>
  <c r="H45"/>
  <c r="H46"/>
  <c r="H47"/>
  <c r="H48"/>
  <c r="H49"/>
  <c r="H50"/>
  <c r="H51"/>
  <c r="H52"/>
  <c r="H53"/>
  <c r="H54"/>
  <c r="H55"/>
  <c r="H56"/>
  <c r="H57"/>
  <c r="H58"/>
  <c r="H59"/>
  <c r="H60"/>
  <c r="H61"/>
  <c r="H62"/>
  <c r="H63"/>
  <c r="H64"/>
  <c r="H65"/>
  <c r="H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15"/>
  <c r="H8" i="3" l="1"/>
  <c r="F74" i="5" s="1"/>
  <c r="H74"/>
  <c r="E27" i="6" s="1"/>
  <c r="E75" i="5"/>
  <c r="G75"/>
  <c r="D19"/>
  <c r="J19" s="1"/>
  <c r="D20"/>
  <c r="J20" s="1"/>
  <c r="D21"/>
  <c r="J21" s="1"/>
  <c r="D22"/>
  <c r="J22" s="1"/>
  <c r="D23"/>
  <c r="J23" s="1"/>
  <c r="D24"/>
  <c r="J24" s="1"/>
  <c r="D25"/>
  <c r="J25" s="1"/>
  <c r="D26"/>
  <c r="J26" s="1"/>
  <c r="D27"/>
  <c r="J27" s="1"/>
  <c r="D28"/>
  <c r="J28" s="1"/>
  <c r="D29"/>
  <c r="J29" s="1"/>
  <c r="D30"/>
  <c r="D31"/>
  <c r="D32"/>
  <c r="D33"/>
  <c r="J33" s="1"/>
  <c r="D34"/>
  <c r="J34" s="1"/>
  <c r="D35"/>
  <c r="J35" s="1"/>
  <c r="D36"/>
  <c r="J36" s="1"/>
  <c r="D37"/>
  <c r="J37" s="1"/>
  <c r="D38"/>
  <c r="J38" s="1"/>
  <c r="D39"/>
  <c r="J39" s="1"/>
  <c r="D40"/>
  <c r="D41"/>
  <c r="J41" s="1"/>
  <c r="D42"/>
  <c r="D43"/>
  <c r="D44"/>
  <c r="D45"/>
  <c r="J45" s="1"/>
  <c r="D46"/>
  <c r="D47"/>
  <c r="D48"/>
  <c r="D49"/>
  <c r="J49" s="1"/>
  <c r="D50"/>
  <c r="J50" s="1"/>
  <c r="D51"/>
  <c r="J51" s="1"/>
  <c r="D52"/>
  <c r="J52" s="1"/>
  <c r="D53"/>
  <c r="J53" s="1"/>
  <c r="D54"/>
  <c r="J54" s="1"/>
  <c r="D55"/>
  <c r="J55" s="1"/>
  <c r="D56"/>
  <c r="J56" s="1"/>
  <c r="D57"/>
  <c r="J57" s="1"/>
  <c r="D58"/>
  <c r="J58" s="1"/>
  <c r="D59"/>
  <c r="J59" s="1"/>
  <c r="D60"/>
  <c r="J60" s="1"/>
  <c r="D61"/>
  <c r="J61" s="1"/>
  <c r="D62"/>
  <c r="J62" s="1"/>
  <c r="D63"/>
  <c r="J63" s="1"/>
  <c r="D64"/>
  <c r="J64" s="1"/>
  <c r="D65"/>
  <c r="J65" s="1"/>
  <c r="D66"/>
  <c r="J66" s="1"/>
  <c r="D67"/>
  <c r="J67" s="1"/>
  <c r="D68"/>
  <c r="J68" s="1"/>
  <c r="D69"/>
  <c r="J69" s="1"/>
  <c r="D18"/>
  <c r="J18" s="1"/>
  <c r="G31" i="3"/>
  <c r="F31"/>
  <c r="E31"/>
  <c r="E27"/>
  <c r="F27"/>
  <c r="G27"/>
  <c r="D33"/>
  <c r="D32"/>
  <c r="E66" i="4"/>
  <c r="E65"/>
  <c r="E64"/>
  <c r="E63"/>
  <c r="E62"/>
  <c r="E61"/>
  <c r="E60"/>
  <c r="E59"/>
  <c r="E58"/>
  <c r="E57"/>
  <c r="E56"/>
  <c r="E55"/>
  <c r="E54"/>
  <c r="E53"/>
  <c r="E52"/>
  <c r="E51"/>
  <c r="E50"/>
  <c r="E49"/>
  <c r="E48"/>
  <c r="E47"/>
  <c r="E46"/>
  <c r="E45"/>
  <c r="E44"/>
  <c r="E43"/>
  <c r="E42"/>
  <c r="E41"/>
  <c r="E40"/>
  <c r="E39"/>
  <c r="E38"/>
  <c r="E37"/>
  <c r="E36"/>
  <c r="E35"/>
  <c r="E34"/>
  <c r="E33"/>
  <c r="E32"/>
  <c r="E31"/>
  <c r="E30"/>
  <c r="E29"/>
  <c r="E27"/>
  <c r="E26"/>
  <c r="E25"/>
  <c r="E24"/>
  <c r="E23"/>
  <c r="E22"/>
  <c r="E21"/>
  <c r="E20"/>
  <c r="E19"/>
  <c r="E18"/>
  <c r="E17"/>
  <c r="E16"/>
  <c r="D67" i="2"/>
  <c r="D7" i="6" s="1"/>
  <c r="E17" i="2"/>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F17"/>
  <c r="G17"/>
  <c r="G18"/>
  <c r="H18"/>
  <c r="F19"/>
  <c r="G19"/>
  <c r="H19"/>
  <c r="F20"/>
  <c r="H20"/>
  <c r="F21"/>
  <c r="G21"/>
  <c r="H21"/>
  <c r="F22"/>
  <c r="G22"/>
  <c r="H22"/>
  <c r="F23"/>
  <c r="G23"/>
  <c r="H23"/>
  <c r="F24"/>
  <c r="G24"/>
  <c r="H24"/>
  <c r="F25"/>
  <c r="G25"/>
  <c r="H25"/>
  <c r="F26"/>
  <c r="G26"/>
  <c r="H26"/>
  <c r="F27"/>
  <c r="G27"/>
  <c r="H27"/>
  <c r="F28"/>
  <c r="G28"/>
  <c r="H28"/>
  <c r="F29"/>
  <c r="G29"/>
  <c r="H29"/>
  <c r="F30"/>
  <c r="G30"/>
  <c r="H30"/>
  <c r="F31"/>
  <c r="G31"/>
  <c r="H31"/>
  <c r="F32"/>
  <c r="G32"/>
  <c r="H32"/>
  <c r="F33"/>
  <c r="G33"/>
  <c r="H33"/>
  <c r="F34"/>
  <c r="G34"/>
  <c r="H34"/>
  <c r="F35"/>
  <c r="G35"/>
  <c r="H35"/>
  <c r="F36"/>
  <c r="G36"/>
  <c r="H36"/>
  <c r="F37"/>
  <c r="G37"/>
  <c r="H37"/>
  <c r="F38"/>
  <c r="G38"/>
  <c r="H38"/>
  <c r="F39"/>
  <c r="G39"/>
  <c r="H39"/>
  <c r="F40"/>
  <c r="G40"/>
  <c r="H40"/>
  <c r="F41"/>
  <c r="G41"/>
  <c r="H41"/>
  <c r="F42"/>
  <c r="G42"/>
  <c r="H42"/>
  <c r="F43"/>
  <c r="G43"/>
  <c r="H43"/>
  <c r="F44"/>
  <c r="G44"/>
  <c r="H44"/>
  <c r="F45"/>
  <c r="G45"/>
  <c r="H45"/>
  <c r="F46"/>
  <c r="G46"/>
  <c r="H46"/>
  <c r="F47"/>
  <c r="G47"/>
  <c r="H47"/>
  <c r="F48"/>
  <c r="G48"/>
  <c r="H48"/>
  <c r="F49"/>
  <c r="G49"/>
  <c r="H49"/>
  <c r="F50"/>
  <c r="G50"/>
  <c r="H50"/>
  <c r="F51"/>
  <c r="G51"/>
  <c r="H51"/>
  <c r="F52"/>
  <c r="G52"/>
  <c r="H52"/>
  <c r="F53"/>
  <c r="G53"/>
  <c r="H53"/>
  <c r="F54"/>
  <c r="G54"/>
  <c r="H54"/>
  <c r="F55"/>
  <c r="G55"/>
  <c r="H55"/>
  <c r="F56"/>
  <c r="G56"/>
  <c r="H56"/>
  <c r="F57"/>
  <c r="G57"/>
  <c r="H57"/>
  <c r="F58"/>
  <c r="G58"/>
  <c r="H58"/>
  <c r="F59"/>
  <c r="G59"/>
  <c r="H59"/>
  <c r="F60"/>
  <c r="G60"/>
  <c r="H60"/>
  <c r="F61"/>
  <c r="G61"/>
  <c r="H61"/>
  <c r="F62"/>
  <c r="G62"/>
  <c r="H62"/>
  <c r="F63"/>
  <c r="G63"/>
  <c r="H63"/>
  <c r="F64"/>
  <c r="G64"/>
  <c r="H64"/>
  <c r="E16"/>
  <c r="E15"/>
  <c r="P69" i="5" l="1"/>
  <c r="N69"/>
  <c r="P67"/>
  <c r="N67"/>
  <c r="P65"/>
  <c r="N65"/>
  <c r="P63"/>
  <c r="N63"/>
  <c r="P61"/>
  <c r="N61"/>
  <c r="P59"/>
  <c r="N59"/>
  <c r="P57"/>
  <c r="N57"/>
  <c r="P55"/>
  <c r="N55"/>
  <c r="P53"/>
  <c r="N53"/>
  <c r="P25"/>
  <c r="N25"/>
  <c r="P23"/>
  <c r="N23"/>
  <c r="P21"/>
  <c r="N21"/>
  <c r="M19"/>
  <c r="P19"/>
  <c r="N19"/>
  <c r="P18"/>
  <c r="M18"/>
  <c r="N18"/>
  <c r="P68"/>
  <c r="N68"/>
  <c r="P66"/>
  <c r="N66"/>
  <c r="P64"/>
  <c r="N64"/>
  <c r="P62"/>
  <c r="N62"/>
  <c r="P60"/>
  <c r="N60"/>
  <c r="P58"/>
  <c r="N58"/>
  <c r="P56"/>
  <c r="N56"/>
  <c r="P54"/>
  <c r="N54"/>
  <c r="P24"/>
  <c r="N24"/>
  <c r="P22"/>
  <c r="N22"/>
  <c r="N20"/>
  <c r="P20"/>
  <c r="P49"/>
  <c r="N49"/>
  <c r="P51"/>
  <c r="N51"/>
  <c r="P35"/>
  <c r="N35"/>
  <c r="P27"/>
  <c r="N27"/>
  <c r="P52"/>
  <c r="N52"/>
  <c r="P36"/>
  <c r="N36"/>
  <c r="P28"/>
  <c r="N28"/>
  <c r="P37"/>
  <c r="N37"/>
  <c r="P33"/>
  <c r="N33"/>
  <c r="P29"/>
  <c r="N29"/>
  <c r="P50"/>
  <c r="N50"/>
  <c r="P34"/>
  <c r="N34"/>
  <c r="P26"/>
  <c r="N26"/>
  <c r="P39"/>
  <c r="N39"/>
  <c r="P45"/>
  <c r="N45"/>
  <c r="P41"/>
  <c r="N41"/>
  <c r="P38"/>
  <c r="N38"/>
  <c r="J30"/>
  <c r="O30" s="1"/>
  <c r="J31"/>
  <c r="O31" s="1"/>
  <c r="J46"/>
  <c r="J47"/>
  <c r="O47" s="1"/>
  <c r="J43"/>
  <c r="J48"/>
  <c r="J44"/>
  <c r="M44" s="1"/>
  <c r="J40"/>
  <c r="M40" s="1"/>
  <c r="J32"/>
  <c r="J42"/>
  <c r="H75"/>
  <c r="G77"/>
  <c r="G26" i="6" s="1"/>
  <c r="F26"/>
  <c r="F75" i="5"/>
  <c r="E25" i="6"/>
  <c r="E77" i="5"/>
  <c r="G24" i="6" s="1"/>
  <c r="F24"/>
  <c r="D69" i="4"/>
  <c r="M68" i="5"/>
  <c r="O68"/>
  <c r="M56"/>
  <c r="O56"/>
  <c r="M20"/>
  <c r="O20"/>
  <c r="O65"/>
  <c r="M65"/>
  <c r="O53"/>
  <c r="M53"/>
  <c r="O66"/>
  <c r="M66"/>
  <c r="M62"/>
  <c r="O62"/>
  <c r="O58"/>
  <c r="M58"/>
  <c r="O54"/>
  <c r="M54"/>
  <c r="M50"/>
  <c r="O50"/>
  <c r="M46"/>
  <c r="O38"/>
  <c r="M38"/>
  <c r="O34"/>
  <c r="M34"/>
  <c r="M26"/>
  <c r="O26"/>
  <c r="O22"/>
  <c r="M22"/>
  <c r="M64"/>
  <c r="O64"/>
  <c r="M60"/>
  <c r="O60"/>
  <c r="M52"/>
  <c r="O52"/>
  <c r="O44"/>
  <c r="M36"/>
  <c r="O36"/>
  <c r="M32"/>
  <c r="O32"/>
  <c r="M28"/>
  <c r="O28"/>
  <c r="M24"/>
  <c r="O24"/>
  <c r="O69"/>
  <c r="M69"/>
  <c r="O61"/>
  <c r="M61"/>
  <c r="O57"/>
  <c r="M57"/>
  <c r="O49"/>
  <c r="M49"/>
  <c r="O45"/>
  <c r="M45"/>
  <c r="O41"/>
  <c r="M41"/>
  <c r="O37"/>
  <c r="M37"/>
  <c r="O33"/>
  <c r="M33"/>
  <c r="O29"/>
  <c r="M29"/>
  <c r="O25"/>
  <c r="M25"/>
  <c r="M21"/>
  <c r="O21"/>
  <c r="O18"/>
  <c r="M67"/>
  <c r="O67"/>
  <c r="M63"/>
  <c r="O63"/>
  <c r="M59"/>
  <c r="O59"/>
  <c r="M55"/>
  <c r="O55"/>
  <c r="M51"/>
  <c r="O51"/>
  <c r="M43"/>
  <c r="O43"/>
  <c r="M39"/>
  <c r="O39"/>
  <c r="M35"/>
  <c r="O35"/>
  <c r="M27"/>
  <c r="O27"/>
  <c r="M23"/>
  <c r="O23"/>
  <c r="O19"/>
  <c r="E69" i="4"/>
  <c r="P74" i="5" s="1"/>
  <c r="G16" i="2"/>
  <c r="F15"/>
  <c r="H16"/>
  <c r="G15"/>
  <c r="E14"/>
  <c r="E67" s="1"/>
  <c r="P73" i="5" s="1"/>
  <c r="H15" i="2"/>
  <c r="G14"/>
  <c r="F16"/>
  <c r="M30" i="5" l="1"/>
  <c r="P43"/>
  <c r="N43"/>
  <c r="O42"/>
  <c r="P42"/>
  <c r="N42"/>
  <c r="M48"/>
  <c r="P48"/>
  <c r="N48"/>
  <c r="P44"/>
  <c r="N44"/>
  <c r="P46"/>
  <c r="N46"/>
  <c r="O40"/>
  <c r="P40"/>
  <c r="N40"/>
  <c r="P47"/>
  <c r="N47"/>
  <c r="O46"/>
  <c r="P30"/>
  <c r="N30"/>
  <c r="P31"/>
  <c r="N31"/>
  <c r="P32"/>
  <c r="N32"/>
  <c r="O48"/>
  <c r="M31"/>
  <c r="M47"/>
  <c r="I72"/>
  <c r="M42"/>
  <c r="H77"/>
  <c r="G27" i="6" s="1"/>
  <c r="F27"/>
  <c r="F77" i="5"/>
  <c r="G25" i="6" s="1"/>
  <c r="F25"/>
  <c r="J7" i="4"/>
  <c r="D15" i="6"/>
  <c r="J6" i="2"/>
  <c r="D14" i="6"/>
  <c r="H69" i="4"/>
  <c r="G67" i="2"/>
  <c r="N73" i="5" s="1"/>
  <c r="F69" i="4"/>
  <c r="G69"/>
  <c r="H67" i="2"/>
  <c r="O73" i="5" s="1"/>
  <c r="F67" i="2"/>
  <c r="M73" i="5" s="1"/>
  <c r="O75" l="1"/>
  <c r="M75"/>
  <c r="P75"/>
  <c r="N75"/>
  <c r="E15" i="6"/>
  <c r="M74" i="5"/>
  <c r="G15" i="6"/>
  <c r="O74" i="5"/>
  <c r="F15" i="6"/>
  <c r="N74" i="5"/>
  <c r="F16" i="6" s="1"/>
  <c r="D28"/>
  <c r="D30" s="1"/>
  <c r="I74" i="5"/>
  <c r="K7" i="4"/>
  <c r="L7"/>
  <c r="M7"/>
  <c r="M6" i="2"/>
  <c r="G14" i="6"/>
  <c r="E14"/>
  <c r="K6" i="2"/>
  <c r="L6"/>
  <c r="F14" i="6"/>
  <c r="O76" i="5" l="1"/>
  <c r="G17" i="6" s="1"/>
  <c r="G16"/>
  <c r="M76" i="5"/>
  <c r="E17" i="6" s="1"/>
  <c r="E39" s="1"/>
  <c r="D16"/>
  <c r="P76" i="5"/>
  <c r="D17" i="6" s="1"/>
  <c r="N76" i="5"/>
  <c r="F17" i="6" s="1"/>
  <c r="E16"/>
  <c r="I75" i="5"/>
  <c r="F28" i="6" s="1"/>
  <c r="F30" s="1"/>
  <c r="E28"/>
  <c r="E30" s="1"/>
  <c r="E40" l="1"/>
  <c r="E38"/>
  <c r="E37"/>
  <c r="F37"/>
  <c r="F39"/>
  <c r="D37"/>
  <c r="D39"/>
  <c r="D38"/>
  <c r="D40"/>
  <c r="I77" i="5"/>
  <c r="G28" i="6" s="1"/>
  <c r="G39"/>
  <c r="G37"/>
  <c r="G38"/>
  <c r="G40"/>
  <c r="F38"/>
  <c r="F40"/>
  <c r="G30" l="1"/>
  <c r="D41"/>
  <c r="G41"/>
  <c r="F41"/>
  <c r="E41"/>
</calcChain>
</file>

<file path=xl/sharedStrings.xml><?xml version="1.0" encoding="utf-8"?>
<sst xmlns="http://schemas.openxmlformats.org/spreadsheetml/2006/main" count="699" uniqueCount="225">
  <si>
    <t>READ ME</t>
  </si>
  <si>
    <t>References:</t>
  </si>
  <si>
    <t>Michigan Department of Environmental Quality. 2002. Part 30 Water Quality Trading.</t>
  </si>
  <si>
    <t>Available at: http://www.state.mi.us/orr/emi/arcrules.asp?type=Numeric&amp;id=1999&amp;subId=1999-036+EQ&amp;subCat=Admincode</t>
  </si>
  <si>
    <t>Available at: http://www.werf.org/AM/Template.cfm?Section=Research_Profile&amp;Template=/CustomSource/Research/PublicationProfile.cfm&amp;id=SW2R08</t>
  </si>
  <si>
    <t>Available for download at: http://www.werf.org/AM/Template.cfm?Section=Research_Profile&amp;Template=/CustomSource/Research/PublicationProfile.cfm&amp;id=SW2R08</t>
  </si>
  <si>
    <t>TP (lbs/yr)</t>
  </si>
  <si>
    <t>Runoff Volume (acre-feet/yr)</t>
  </si>
  <si>
    <t>Forest</t>
  </si>
  <si>
    <t>Wetlands</t>
  </si>
  <si>
    <t>Total</t>
  </si>
  <si>
    <t>Rain Garden</t>
  </si>
  <si>
    <t>TP</t>
  </si>
  <si>
    <t>TSS</t>
  </si>
  <si>
    <t>Base Facility Cost</t>
  </si>
  <si>
    <t>Total Facility Cost</t>
  </si>
  <si>
    <t>Water</t>
  </si>
  <si>
    <t>Commercial</t>
  </si>
  <si>
    <t>Urban open</t>
  </si>
  <si>
    <t>BMP</t>
  </si>
  <si>
    <t>Grass Swale</t>
  </si>
  <si>
    <t>Extended Detention Basin</t>
  </si>
  <si>
    <t>Wet Retention Pond</t>
  </si>
  <si>
    <t>Constructed Wetlands</t>
  </si>
  <si>
    <t>n/a</t>
  </si>
  <si>
    <t xml:space="preserve">Engineering &amp; Planning / Landscaping Cost </t>
  </si>
  <si>
    <t>(25% of base cost for retention/detention/swales/wetlands, 3% of base cost for rain gardens)</t>
  </si>
  <si>
    <t>See full references in READ ME worksheet</t>
  </si>
  <si>
    <t>A</t>
  </si>
  <si>
    <t>A-</t>
  </si>
  <si>
    <t>B-</t>
  </si>
  <si>
    <t>C-</t>
  </si>
  <si>
    <t>B</t>
  </si>
  <si>
    <t>C</t>
  </si>
  <si>
    <t>($ per acre treated)</t>
  </si>
  <si>
    <t>Calculate Current Pollutant Load</t>
  </si>
  <si>
    <t>D</t>
  </si>
  <si>
    <t>Transportation</t>
  </si>
  <si>
    <t>Rural open</t>
  </si>
  <si>
    <t>Hydrologic Soil Group</t>
  </si>
  <si>
    <t>Calculate Future Pollutant Load</t>
  </si>
  <si>
    <t>HD Residential</t>
  </si>
  <si>
    <t>Industrial</t>
  </si>
  <si>
    <t>LD Residential</t>
  </si>
  <si>
    <t>Medium Density Residential</t>
  </si>
  <si>
    <t>Land Use</t>
  </si>
  <si>
    <t>Runoff (in/year)</t>
  </si>
  <si>
    <t>TABLE A</t>
  </si>
  <si>
    <t>TABLE B</t>
  </si>
  <si>
    <t>Low Density Residential</t>
  </si>
  <si>
    <t>High Density Residential</t>
  </si>
  <si>
    <t>Agricultural</t>
  </si>
  <si>
    <t>Future Land Use (Zoning) of Modeled Area</t>
  </si>
  <si>
    <t>Rural Residential</t>
  </si>
  <si>
    <t>Notes:</t>
  </si>
  <si>
    <t>TN</t>
  </si>
  <si>
    <t>BMP DATA TABLE</t>
  </si>
  <si>
    <t>HYDROLOGIC SOIL GROUPS</t>
  </si>
  <si>
    <t>Soils in this group have low runoff potential  when thoroughly wet. Water is transmitted freely through the soil. Group A soils typically have less than 10 percent clay and more than 90 percent sand or gravel and have gravel or sand textures. Some soils having loamy sand, sandy loam, loam or silt loam textures may be placed in this group if they are well aggregated, of low bulk density, or contain greater than 35 percent rock fragments.</t>
  </si>
  <si>
    <t>Soils in this group have moderately high runoff potential when thoroughly wet. Water transmission through the soil is somewhat restricted. Group C soils typically have between 20 percent and 40 percent clay and less than 50 percent sand and have loam, silt loam, sandy clay loam, clay loam, and silty clay loam textures. Some soils having clay, silty clay, or sandy clay textures may be placed in this group if they are well aggregated, of low bulk density, or contain greater than 35 percent rock fragments.</t>
  </si>
  <si>
    <t>Soils in this group have high runoff potential when thoroughly wet. Water movement through the soil is restricted or very restricted. Group D soils typically have greater than 40 percent clay, less than 50 percent sand, and have clayey textures.</t>
  </si>
  <si>
    <t>(extracted from NRCS Part 630 Hydrology National Engineering Handbook 2007)</t>
  </si>
  <si>
    <t>Cells requiring user's input are in highlighed in yellow. All other cells are automatically calculated.</t>
  </si>
  <si>
    <t xml:space="preserve">Calculate future pollutant loads: </t>
  </si>
  <si>
    <t xml:space="preserve">Calculate current pollutant loads: </t>
  </si>
  <si>
    <t>USDA NRCS. 2007. Chapter 7: Hydrologic Soil Groups - Part 630 Hydrology National Engineering Handbook.</t>
  </si>
  <si>
    <t xml:space="preserve">Users are required to enter the following information: </t>
  </si>
  <si>
    <t xml:space="preserve">Apply Stormwater BMP: </t>
  </si>
  <si>
    <t>TABLE C</t>
  </si>
  <si>
    <t>Area (acres)</t>
  </si>
  <si>
    <t xml:space="preserve">Agricultural </t>
  </si>
  <si>
    <t>TN (lbs/yr)</t>
  </si>
  <si>
    <t>TSS    (lbs/yr)</t>
  </si>
  <si>
    <t>TN           (lbs/yr)</t>
  </si>
  <si>
    <t>TP         (lbs/yr)</t>
  </si>
  <si>
    <t>Transportation (Roads/Parking lots)</t>
  </si>
  <si>
    <t>RUNOFF AND EVENT MEAN CONCENTRATIONS TABLE</t>
  </si>
  <si>
    <r>
      <t xml:space="preserve">Enter area of </t>
    </r>
    <r>
      <rPr>
        <b/>
        <sz val="10"/>
        <rFont val="Arial"/>
        <family val="2"/>
      </rPr>
      <t>future land use</t>
    </r>
    <r>
      <rPr>
        <sz val="10"/>
        <rFont val="Arial"/>
        <family val="2"/>
      </rPr>
      <t xml:space="preserve"> on each appropriate soil type for modeled catchment in table A below (yellow cells, column D). </t>
    </r>
  </si>
  <si>
    <t>Current Land Use of Modeled Area</t>
  </si>
  <si>
    <t>Apply Stormwater Best Management Practices</t>
  </si>
  <si>
    <r>
      <t xml:space="preserve">Area Treated by </t>
    </r>
    <r>
      <rPr>
        <b/>
        <sz val="11"/>
        <rFont val="Arial"/>
        <family val="2"/>
      </rPr>
      <t>Rain Garden</t>
    </r>
  </si>
  <si>
    <r>
      <t xml:space="preserve">Area Treated by </t>
    </r>
    <r>
      <rPr>
        <b/>
        <sz val="11"/>
        <rFont val="Arial"/>
        <family val="2"/>
      </rPr>
      <t>Constructed Wetlands</t>
    </r>
  </si>
  <si>
    <r>
      <t xml:space="preserve">Area </t>
    </r>
    <r>
      <rPr>
        <b/>
        <u/>
        <sz val="10"/>
        <rFont val="Arial"/>
        <family val="2"/>
      </rPr>
      <t>Not</t>
    </r>
    <r>
      <rPr>
        <b/>
        <sz val="10"/>
        <rFont val="Arial"/>
        <family val="2"/>
      </rPr>
      <t xml:space="preserve"> Treated by BMPs</t>
    </r>
  </si>
  <si>
    <t>Total Load TP</t>
  </si>
  <si>
    <t>Total Load TN</t>
  </si>
  <si>
    <t>Total Load TSS</t>
  </si>
  <si>
    <t>Future Load (lbs/yr) with BMP</t>
  </si>
  <si>
    <t>Total Area (acres)</t>
  </si>
  <si>
    <t>Note: The total area entered in the BMP columns should be less or equal to the total land use area</t>
  </si>
  <si>
    <t>BMP Cost Estimate</t>
  </si>
  <si>
    <r>
      <t xml:space="preserve">Enter area of </t>
    </r>
    <r>
      <rPr>
        <b/>
        <sz val="10"/>
        <rFont val="Arial"/>
        <family val="2"/>
      </rPr>
      <t>current land use</t>
    </r>
    <r>
      <rPr>
        <sz val="10"/>
        <rFont val="Arial"/>
        <family val="2"/>
      </rPr>
      <t xml:space="preserve"> on each appropriate soil type for modeled catchment in Table A below (yellow cells, column D). </t>
    </r>
  </si>
  <si>
    <t>Please note: the total area in Table B should equal the total area in Table A.</t>
  </si>
  <si>
    <t>Enter the area for each future land use that will be treated by selected BMP(s).</t>
  </si>
  <si>
    <t>entered in Table B (The future land use area from Table B is automatically filled in Column D).</t>
  </si>
  <si>
    <t>Total loads after BMP application are presented in Columns M to O.</t>
  </si>
  <si>
    <t>BMP cost estimates are presented below Table C.</t>
  </si>
  <si>
    <t>12.5% x LD Residential + 87.5% x Agriculture (as defined in Michigan Trading Rules)</t>
  </si>
  <si>
    <t xml:space="preserve">These calculations area based on the build-out rules defined by SWMPC for the Black River Watershed. The original rules refer to "IFMAP" (i.e., current land use category) as the second land use category to be used in the equation as the rules were originally used within a GIS layer. This option cannot be replicated in this worksheet. Therefore, agriculture was selected as the default second category since it represents the most logical choice for this land use definition. </t>
  </si>
  <si>
    <t>While SWMPC defined different ratios of "LD Residential" and  "IFMAP" land use for different build-out scenarios, the EMCs above were calculated using ratios for the average 50% build-out scenario.</t>
  </si>
  <si>
    <r>
      <t xml:space="preserve">Future Land Use </t>
    </r>
    <r>
      <rPr>
        <b/>
        <u/>
        <sz val="10"/>
        <rFont val="Arial"/>
        <family val="2"/>
      </rPr>
      <t>without</t>
    </r>
    <r>
      <rPr>
        <b/>
        <sz val="10"/>
        <rFont val="Arial"/>
        <family val="2"/>
      </rPr>
      <t xml:space="preserve"> BMP application</t>
    </r>
  </si>
  <si>
    <r>
      <t xml:space="preserve">Engel, Bernard. 2005. </t>
    </r>
    <r>
      <rPr>
        <i/>
        <sz val="11"/>
        <color theme="1"/>
        <rFont val="Calibri"/>
        <family val="2"/>
        <scheme val="minor"/>
      </rPr>
      <t>L-THIA NPS Manual, version 2.3</t>
    </r>
    <r>
      <rPr>
        <sz val="11"/>
        <color theme="1"/>
        <rFont val="Calibri"/>
        <family val="2"/>
        <scheme val="minor"/>
      </rPr>
      <t>. Purdue University and US Environmental Protection Agency. Available at: http://www.ecn.purdue.edu/runoff/lthia/gis/lthia_gis_users_manual_ver23.pdf</t>
    </r>
  </si>
  <si>
    <t>Description</t>
  </si>
  <si>
    <t>Non-urban, mainly agricultural area with parcel size over 2 acres</t>
  </si>
  <si>
    <t>Agricultural land area (row crops, forage crops, orchards, pasture), including farm buildings, roads and limited number of residences.</t>
  </si>
  <si>
    <t>Includes parks, golf courses and other recreational open land</t>
  </si>
  <si>
    <t>Urban residential area with single family houses on parcel size between 1/2 acre and 2 acres. About 10% of the area is impervious.</t>
  </si>
  <si>
    <t>Mainly multi-family housing with an average parcel size of 1/4 acre of less. About 85% of the area is impervious</t>
  </si>
  <si>
    <t>Commercial or business district - 90% impervious</t>
  </si>
  <si>
    <t>Roads and parking lots</t>
  </si>
  <si>
    <t>Coniferous and deciduous trees</t>
  </si>
  <si>
    <t>Lakes and streams</t>
  </si>
  <si>
    <t>Lowland areas where soil is periodically saturated or covered with water</t>
  </si>
  <si>
    <t>16.5% x LD Residential + 83.5% x Agriculture  (as defined in Michigan Trading Rules)</t>
  </si>
  <si>
    <t>0.44 to 4.35</t>
  </si>
  <si>
    <t>Runoff (in/yr)</t>
  </si>
  <si>
    <t>TP (mg/L)</t>
  </si>
  <si>
    <t>TN (mg/L)</t>
  </si>
  <si>
    <t>TSS (mg/L)</t>
  </si>
  <si>
    <t>Descriptions of each land use category, together with runoff and EMC values used, are available in the LOOKUP TABLES worksheet.</t>
  </si>
  <si>
    <t xml:space="preserve">Users can also find more information about hydrologic soil group in the "LOOK-UP TABLES" worksheet. </t>
  </si>
  <si>
    <r>
      <t>% Efficiency</t>
    </r>
    <r>
      <rPr>
        <b/>
        <vertAlign val="superscript"/>
        <sz val="12"/>
        <rFont val="Arial"/>
        <family val="2"/>
      </rPr>
      <t xml:space="preserve"> (1)</t>
    </r>
  </si>
  <si>
    <r>
      <t>Base Cost</t>
    </r>
    <r>
      <rPr>
        <b/>
        <vertAlign val="superscript"/>
        <sz val="12"/>
        <rFont val="Arial"/>
        <family val="2"/>
      </rPr>
      <t xml:space="preserve">(2)      </t>
    </r>
    <r>
      <rPr>
        <b/>
        <sz val="12"/>
        <rFont val="Arial"/>
        <family val="2"/>
      </rPr>
      <t xml:space="preserve">     </t>
    </r>
  </si>
  <si>
    <r>
      <t xml:space="preserve">Cost Adjustment for Small Project </t>
    </r>
    <r>
      <rPr>
        <b/>
        <vertAlign val="superscript"/>
        <sz val="12"/>
        <rFont val="Arial"/>
        <family val="2"/>
      </rPr>
      <t>(2)</t>
    </r>
  </si>
  <si>
    <r>
      <t xml:space="preserve">Agricultural </t>
    </r>
    <r>
      <rPr>
        <vertAlign val="superscript"/>
        <sz val="12"/>
        <color theme="1"/>
        <rFont val="Calibri"/>
        <family val="2"/>
        <scheme val="minor"/>
      </rPr>
      <t>(1)</t>
    </r>
  </si>
  <si>
    <r>
      <t xml:space="preserve">Rural Residential </t>
    </r>
    <r>
      <rPr>
        <vertAlign val="superscript"/>
        <sz val="12"/>
        <color theme="1"/>
        <rFont val="Calibri"/>
        <family val="2"/>
        <scheme val="minor"/>
      </rPr>
      <t>(2)</t>
    </r>
  </si>
  <si>
    <r>
      <t xml:space="preserve">Water </t>
    </r>
    <r>
      <rPr>
        <vertAlign val="superscript"/>
        <sz val="12"/>
        <color theme="1"/>
        <rFont val="Calibri"/>
        <family val="2"/>
        <scheme val="minor"/>
      </rPr>
      <t>(3)</t>
    </r>
  </si>
  <si>
    <r>
      <t>Wetlands</t>
    </r>
    <r>
      <rPr>
        <vertAlign val="superscript"/>
        <sz val="12"/>
        <color theme="1"/>
        <rFont val="Calibri"/>
        <family val="2"/>
        <scheme val="minor"/>
      </rPr>
      <t xml:space="preserve"> (3)</t>
    </r>
  </si>
  <si>
    <r>
      <rPr>
        <b/>
        <sz val="12"/>
        <color theme="1"/>
        <rFont val="Calibri"/>
        <family val="2"/>
        <scheme val="minor"/>
      </rPr>
      <t>(1)</t>
    </r>
    <r>
      <rPr>
        <sz val="12"/>
        <color theme="1"/>
        <rFont val="Calibri"/>
        <family val="2"/>
        <scheme val="minor"/>
      </rPr>
      <t xml:space="preserve"> Agricultural - The runoff and EMC values for FLU category "Agricultural" were calculated using the following formula:</t>
    </r>
  </si>
  <si>
    <r>
      <rPr>
        <b/>
        <sz val="12"/>
        <color theme="1"/>
        <rFont val="Calibri"/>
        <family val="2"/>
        <scheme val="minor"/>
      </rPr>
      <t>(2)</t>
    </r>
    <r>
      <rPr>
        <sz val="12"/>
        <color theme="1"/>
        <rFont val="Calibri"/>
        <family val="2"/>
        <scheme val="minor"/>
      </rPr>
      <t xml:space="preserve"> Rural Residential - The runoff and EMC values for FLU category "Rural Residential" were calculated using the following formula:</t>
    </r>
  </si>
  <si>
    <t>TOTAL</t>
  </si>
  <si>
    <t>Current Pollutant Load - Totals</t>
  </si>
  <si>
    <t>(acre-feet/yr)</t>
  </si>
  <si>
    <t xml:space="preserve">TP </t>
  </si>
  <si>
    <t>(lbs/yr)</t>
  </si>
  <si>
    <t>Runoff Volume</t>
  </si>
  <si>
    <t xml:space="preserve">TN </t>
  </si>
  <si>
    <t xml:space="preserve">TSS   </t>
  </si>
  <si>
    <t>Current Load</t>
  </si>
  <si>
    <t>Total area modeled</t>
  </si>
  <si>
    <t>acres</t>
  </si>
  <si>
    <t>Date:</t>
  </si>
  <si>
    <t>Future Load with no BMP application</t>
  </si>
  <si>
    <t>Future Load with BMP application</t>
  </si>
  <si>
    <t>Name of area/project (optional):</t>
  </si>
  <si>
    <t>Total area treated</t>
  </si>
  <si>
    <t>Total area treated by BMP type (in acres)</t>
  </si>
  <si>
    <t>Total Cost</t>
  </si>
  <si>
    <t>(acres)</t>
  </si>
  <si>
    <t>($)</t>
  </si>
  <si>
    <t xml:space="preserve"> TP Load (lbs/yr)</t>
  </si>
  <si>
    <t>TN Load (lbs/yr)</t>
  </si>
  <si>
    <t>TSS Load (lbs/yr)</t>
  </si>
  <si>
    <r>
      <t xml:space="preserve">Future Land Use </t>
    </r>
    <r>
      <rPr>
        <b/>
        <u/>
        <sz val="10"/>
        <rFont val="Arial"/>
        <family val="2"/>
      </rPr>
      <t>with</t>
    </r>
    <r>
      <rPr>
        <b/>
        <sz val="10"/>
        <rFont val="Arial"/>
        <family val="2"/>
      </rPr>
      <t xml:space="preserve"> BMP application</t>
    </r>
  </si>
  <si>
    <t>Print Results:</t>
  </si>
  <si>
    <t>All results are compiled in this worksheet to allow user to print one summary page for a project.</t>
  </si>
  <si>
    <t>Future Pollutant Load - Totals</t>
  </si>
  <si>
    <t>Summary</t>
  </si>
  <si>
    <t>TOTAL POLLUTANT LOADS</t>
  </si>
  <si>
    <t>Manufacturing plants and other industrial activity - 80% impervious.</t>
  </si>
  <si>
    <t>Rural openland - includes areas with  herbaceous vegetation, grassland, bare soil or shrub/scrub vegetation.</t>
  </si>
  <si>
    <t>This document should be used as a template, i.e. it is advisable that users save this worksheet using a separate file name for each modeling project.</t>
  </si>
  <si>
    <t>Both categories above use a ratio of Low Density Residential to calculate runoff and event mean concentrations.  An adjustment was made to account for the differences from the original GIS "Agricultural" category from the Michigan Trading Rules (see runoff and EMC values below).  The introduction of the new GIS layer for LD Residential altered the rural categories as follows:   runoff is adjusted slightly down for soils A, B and C and in addition TN and TSS EMCs are also slightly reduced while TP EMC is adjusted to be slightly higher.</t>
  </si>
  <si>
    <t>(3) Runoff from water and wetlands is considered to be nul as it is not possible to quantify upwards or downwards effects on impound releases without site specific information.</t>
  </si>
  <si>
    <t>Engineering &amp; Planning Cost</t>
  </si>
  <si>
    <t>(2) Base cost and cost adjustment values are provided in WERF's BMP and LID Whole Life Cost Worksheets (2009b). The medium value of $3,000 per acre is used for retention, detention and swale.</t>
  </si>
  <si>
    <t>Water Environment Research Foundation. 2009a. User's Guide to the BMP and LID Whole Life Cost Models version 2.0.</t>
  </si>
  <si>
    <t>Water Environment Research Foundation. 2009b. BMP and LID Whole Life Cost Models Excel Worksheets for Extended Detention Ponds, Retention Ponds, Swales.</t>
  </si>
  <si>
    <t>All EMC values were taken from the Michigan Trading Rules (MDEQ, 1999) except for two categories (Agricultural and Rural Residential). See below:</t>
  </si>
  <si>
    <t>Transportation (Roads/Parking Lots)</t>
  </si>
  <si>
    <t xml:space="preserve">The BMP Tool workbook is divided into four worksheets: </t>
  </si>
  <si>
    <t>INSTRUCTIONS AND REFERENCES FOR THE GALIEN RIVER LAND USE CHANGE AND BMP TOOL (TEMPLATE)</t>
  </si>
  <si>
    <t>This workbook contains the Land Use Change and BMP Tool developed for the Southwest Michigan Planning Commission (SWMPC) as part of the Galien River Watershed Management Plan.</t>
  </si>
  <si>
    <t>GALIEN RIVER WATERSHED BMP TOOL (TEMPLATE)</t>
  </si>
  <si>
    <t>GALIEN RIVER WATERSHED BMP TOOL</t>
  </si>
  <si>
    <t>Single or multi-family housing with smaller parcel size (1/3 acre in average). About 30% of the area is impervious.</t>
  </si>
  <si>
    <r>
      <t xml:space="preserve">Rain Garden (Neighborhood) </t>
    </r>
    <r>
      <rPr>
        <vertAlign val="superscript"/>
        <sz val="12"/>
        <rFont val="Calibri"/>
        <family val="2"/>
        <scheme val="minor"/>
      </rPr>
      <t>(3)</t>
    </r>
  </si>
  <si>
    <t>(1) Efficiency values for extended dry detention, wet detention and swale are taken from the Michigan Trading Rules (MDEQ, 1999). Efficiency values for constructed wetlands were taken from EPA (2005), rain gardens are assumed to trap 100% of runoff and pollutants.</t>
  </si>
  <si>
    <t>(3) The assumption used in this tool is that rain gardens will be installed at a neighborhood scale, therefore providing economies of scale.</t>
  </si>
  <si>
    <t>For rain gardens, the cost per area treated is $16.05 (cost per sq. ft of rain garden) x 20% (rain garden area ratio to drainage area) =$3.21 per sq. foot treated (or $139,828 per acre treated). The assumption used in this tool is that rain gardens will be installed at a neighborhood scale, therefore providing economies of scale. The WERF neighborhood discount factor (50%) was applied to give a value per acre treated of $69,914.</t>
  </si>
  <si>
    <t>The base BMP cost of $42,254 per acre (effective drainage area) for curb-contained bioretention is used for constructed wetlands.</t>
  </si>
  <si>
    <t>Soils in this group have moderately low runoff potential when thoroughly wet. Water transmission through the soil is unimpeded. Group B soils typically have between 10 percent and 20 percent clay and 50 percent to 90 percent sand and have loamy sand or sandy loam textures. Some soils having loam, silt loam, silt, or sandy clay loam textures may be placed in this group if they are well aggregated, of low bulk density, or contain greater than 35 percent rock fragments.</t>
  </si>
  <si>
    <t>More information about build-out rules is available in the report "Build-Out Analysis for the Galien River Watershed" (Kieser &amp; Associates, 2010)</t>
  </si>
  <si>
    <t>Future BMP Coverage Projections (Areas in acres)</t>
  </si>
  <si>
    <r>
      <t xml:space="preserve">Area Treated by </t>
    </r>
    <r>
      <rPr>
        <b/>
        <sz val="11"/>
        <rFont val="Arial"/>
        <family val="2"/>
      </rPr>
      <t>Wet Detention</t>
    </r>
  </si>
  <si>
    <t xml:space="preserve">Wet Detention </t>
  </si>
  <si>
    <t>Load/Volume Reduction from BMP Application</t>
  </si>
  <si>
    <t>BMP APPLICATION COSTS</t>
  </si>
  <si>
    <r>
      <t>Current Land Use</t>
    </r>
    <r>
      <rPr>
        <b/>
        <u/>
        <sz val="10"/>
        <rFont val="Arial"/>
        <family val="2"/>
      </rPr>
      <t/>
    </r>
  </si>
  <si>
    <t>Runoff volume efficiency values were taken from the Chesapeake Bay Stormwater Network (Schueler, 2008). Level 1 runoff reductions (baseline BMP design) are used here to provide conservative estimates. Level 2 design (i.e. more innovative) would provide a greater runoff reduction (see reference for more information).</t>
  </si>
  <si>
    <t>NOTE: The efficiencies listed above are only valid for BMPs meeting the minimum design standards for Michigan, i.e. capture and treatment of 90% non-exceedance storm(1" of rainfall or less for Kalamazoo). BMPs designed in the context of an urban retrofit project may not meet those requirements and will not achieve the treatment efficiencies listed above.</t>
  </si>
  <si>
    <t>BMP DEFINITIONS</t>
  </si>
  <si>
    <t>Schueler T. 2008. Technical Bulletin #4: Technical Support for the Bay-wide Runoff Reduction Method Version 2.0. Chesapeake Stormwater Network.</t>
  </si>
  <si>
    <t>http://www.chesapeakestormwater.net/all-things-stormwater/category/csn-research</t>
  </si>
  <si>
    <t>Runoff</t>
  </si>
  <si>
    <t>Runoff Volume    (acre-feet/yr)</t>
  </si>
  <si>
    <t>COST PER LB OR ACRE-FEET OF REDUCTION</t>
  </si>
  <si>
    <t>These results can be used as a screening tool to assess loading issues from urban stormwater and generalized options (costs and benefits) to address these issues.</t>
  </si>
  <si>
    <t>Kieser &amp; Associates, LLC. 2010. Urban Build-Out and Stormwater BMP Analysis for the Galien River Watershed. Prepared for the Southwest Michigan Planning Commission (public release pending)</t>
  </si>
  <si>
    <t> proportion of the area draining to the selected BMP.</t>
  </si>
  <si>
    <r>
      <t xml:space="preserve">Pollutant loads are calculated </t>
    </r>
    <r>
      <rPr>
        <sz val="11"/>
        <color theme="1" tint="4.9989318521683403E-2"/>
        <rFont val="Calibri"/>
        <family val="2"/>
        <scheme val="minor"/>
      </rPr>
      <t>for the current land use footprints</t>
    </r>
    <r>
      <rPr>
        <sz val="11"/>
        <color rgb="FFFF0000"/>
        <rFont val="Calibri"/>
        <family val="2"/>
        <scheme val="minor"/>
      </rPr>
      <t xml:space="preserve"> </t>
    </r>
    <r>
      <rPr>
        <sz val="11"/>
        <rFont val="Calibri"/>
        <family val="2"/>
        <scheme val="minor"/>
      </rPr>
      <t>using the equations and event mean concentrations, provided in the Michigan Trading Rules (Rule 323.3013). Runoff values provided were calculated using L-THIA.</t>
    </r>
  </si>
  <si>
    <r>
      <t xml:space="preserve">Pollutant loads are calculated </t>
    </r>
    <r>
      <rPr>
        <sz val="11"/>
        <color theme="1"/>
        <rFont val="Calibri"/>
        <family val="2"/>
        <scheme val="minor"/>
      </rPr>
      <t>for the build-out land use footprints</t>
    </r>
    <r>
      <rPr>
        <sz val="11"/>
        <color rgb="FFFF0000"/>
        <rFont val="Calibri"/>
        <family val="2"/>
        <scheme val="minor"/>
      </rPr>
      <t xml:space="preserve"> </t>
    </r>
    <r>
      <rPr>
        <sz val="11"/>
        <rFont val="Calibri"/>
        <family val="2"/>
        <scheme val="minor"/>
      </rPr>
      <t>using the equations and event mean concentrations, provided in the Michigan Trading Rules (Rule 323.3013). Runoff values provided were calculated using L-THIA.</t>
    </r>
  </si>
  <si>
    <t xml:space="preserve">   </t>
  </si>
  <si>
    <t>Rain Garden (or bioretention)</t>
  </si>
  <si>
    <t>Vegetated swale</t>
  </si>
  <si>
    <t>Shallow stormwater channel that is densely planted with a variety of grasses, shrubs, and/or trees designed to slow, filter, and infiltrate stormwater runoff. Check dams can be used to improve performance and maximize infiltration, especially in steeper areas.</t>
  </si>
  <si>
    <t>Vegetated Swale</t>
  </si>
  <si>
    <t>Wet Detention Basin</t>
  </si>
  <si>
    <t>Dry Detention Basin</t>
  </si>
  <si>
    <t xml:space="preserve">Dry Detention </t>
  </si>
  <si>
    <r>
      <t xml:space="preserve">Area Treated by </t>
    </r>
    <r>
      <rPr>
        <b/>
        <sz val="11"/>
        <rFont val="Arial"/>
        <family val="2"/>
      </rPr>
      <t>Dry Detention</t>
    </r>
  </si>
  <si>
    <t xml:space="preserve">Shallow marsh systems planted with emergent vegetation designed to treat stormwater runoff. While they are one of the best BMPs for pollutant removal, constructed wetlands can also mitigate peak rates and even reduce runoff volume to a certain degree. </t>
  </si>
  <si>
    <r>
      <t xml:space="preserve">Definitions above were extracted from the </t>
    </r>
    <r>
      <rPr>
        <i/>
        <sz val="12"/>
        <color theme="1"/>
        <rFont val="Calibri"/>
        <family val="2"/>
        <scheme val="minor"/>
      </rPr>
      <t xml:space="preserve">Low Impact Development Manual for Michigan </t>
    </r>
    <r>
      <rPr>
        <sz val="12"/>
        <color theme="1"/>
        <rFont val="Calibri"/>
        <family val="2"/>
        <scheme val="minor"/>
      </rPr>
      <t>(2008)</t>
    </r>
  </si>
  <si>
    <t>Southeast Michigan Council of Governments. 2008. Low Impact Development Manual for Michigan: A Design Guide for Implementors and Reviewers.</t>
  </si>
  <si>
    <t>Developed by Kieser &amp; Associates, September 2010.</t>
  </si>
  <si>
    <r>
      <t xml:space="preserve">The Land Use Change and BMP Tool is designed </t>
    </r>
    <r>
      <rPr>
        <sz val="11"/>
        <color theme="1"/>
        <rFont val="Calibri"/>
        <family val="2"/>
        <scheme val="minor"/>
      </rPr>
      <t xml:space="preserve">to be a simple worsheet that can be used to estimate the impact of land use change and zoning regulations on pollutant loads and runoff volumes. It can also be used to estimate general cost-efficiency of common urban best management practices. It should not be used to provide specific site BMP costs or pollutant loads. </t>
    </r>
  </si>
  <si>
    <r>
      <t xml:space="preserve">This workbook was designed </t>
    </r>
    <r>
      <rPr>
        <sz val="11"/>
        <color theme="1"/>
        <rFont val="Calibri"/>
        <family val="2"/>
        <scheme val="minor"/>
      </rPr>
      <t>separately from the Build-Out analysis report provided to SWMPC (K&amp;A, 2010), and as such, base assumptions differ slightly and therefore, results cannot be used to replicate results provided in the report. This worksheet uses the same current and future land use categories to standardize comparisons between current and future land uses and to provide a better description and load estimation for urban areas (in the buildout analysis, current land use categories came from a 2001 Land Use layer).</t>
    </r>
  </si>
  <si>
    <r>
      <t xml:space="preserve"> land use breakdown per soil </t>
    </r>
    <r>
      <rPr>
        <sz val="11"/>
        <color theme="1"/>
        <rFont val="Calibri"/>
        <family val="2"/>
        <scheme val="minor"/>
      </rPr>
      <t>hydrologic unit type in the area of interest,</t>
    </r>
  </si>
  <si>
    <r>
      <rPr>
        <sz val="11"/>
        <color theme="1"/>
        <rFont val="Calibri"/>
        <family val="2"/>
        <scheme val="minor"/>
      </rPr>
      <t xml:space="preserve">selected BMP option for the area, </t>
    </r>
  </si>
  <si>
    <r>
      <t xml:space="preserve">Select appropriate stormwater treatment BMPs.  The BMPs selected represent general applications of BMP systems and do not necessarily represent the site's specific BMP implemented.  Selection process should be guided by best professional judgment and treatment efficiency. Related </t>
    </r>
    <r>
      <rPr>
        <sz val="11"/>
        <color theme="1"/>
        <rFont val="Calibri"/>
        <family val="2"/>
        <scheme val="minor"/>
      </rPr>
      <t>average costs are for general comparison purposes, not to be used for permit reporting or project estimation purposes.</t>
    </r>
  </si>
  <si>
    <r>
      <t>Area Treated by</t>
    </r>
    <r>
      <rPr>
        <b/>
        <sz val="11"/>
        <rFont val="Arial"/>
        <family val="2"/>
      </rPr>
      <t xml:space="preserve"> Vegetated Swale</t>
    </r>
  </si>
  <si>
    <t>Dry ponds are earthen structures that provide temporary storage of runoff and release the stored volume of water over time to help reduce flooding. They are constructed either by impounding a natural depression or excavating existing soil, and are intended to enhance the settlement process in order to maximize water quality benefits, while achieving reduced runoff volume.</t>
  </si>
  <si>
    <t>Dry detention</t>
  </si>
  <si>
    <t>Wet detention</t>
  </si>
  <si>
    <t>Wet ponds include a permanent pool for water quality treatment and additional capacity above the permanent pool for temporary storage. The pond perimeter should generally be covered by a dense stand of emergent wetland vegetation. While they do not achieve significant groundwater recharge of volume reduction, wet ponds can be effective for pollutant removal and peak rate mitigation.</t>
  </si>
  <si>
    <t>Shallow surface depressions planted with specially selected native vegetation to capture and treat stormwater runoff from rooftops, streets and parking lots.</t>
  </si>
</sst>
</file>

<file path=xl/styles.xml><?xml version="1.0" encoding="utf-8"?>
<styleSheet xmlns="http://schemas.openxmlformats.org/spreadsheetml/2006/main">
  <numFmts count="5">
    <numFmt numFmtId="43" formatCode="_(* #,##0.00_);_(* \(#,##0.00\);_(* &quot;-&quot;??_);_(@_)"/>
    <numFmt numFmtId="164" formatCode="#,##0.0"/>
    <numFmt numFmtId="165" formatCode="0.0"/>
    <numFmt numFmtId="166" formatCode="0.000"/>
    <numFmt numFmtId="167" formatCode="&quot;$&quot;#,##0"/>
  </numFmts>
  <fonts count="44">
    <font>
      <sz val="11"/>
      <color theme="1"/>
      <name val="Calibri"/>
      <family val="2"/>
      <scheme val="minor"/>
    </font>
    <font>
      <b/>
      <sz val="12"/>
      <name val="Arial"/>
      <family val="2"/>
    </font>
    <font>
      <b/>
      <sz val="11"/>
      <name val="Arial"/>
      <family val="2"/>
    </font>
    <font>
      <sz val="10"/>
      <name val="Arial"/>
      <family val="2"/>
    </font>
    <font>
      <u/>
      <sz val="10"/>
      <color theme="10"/>
      <name val="Arial"/>
      <family val="2"/>
    </font>
    <font>
      <b/>
      <sz val="10"/>
      <name val="Arial"/>
      <family val="2"/>
    </font>
    <font>
      <sz val="10"/>
      <color theme="1"/>
      <name val="Arial"/>
      <family val="2"/>
    </font>
    <font>
      <sz val="11"/>
      <name val="Calibri"/>
      <family val="2"/>
      <scheme val="minor"/>
    </font>
    <font>
      <sz val="11"/>
      <color theme="1"/>
      <name val="Arial"/>
      <family val="2"/>
    </font>
    <font>
      <b/>
      <sz val="12"/>
      <color rgb="FF0070C0"/>
      <name val="Arial"/>
      <family val="2"/>
    </font>
    <font>
      <i/>
      <sz val="9"/>
      <color theme="1"/>
      <name val="Arial"/>
      <family val="2"/>
    </font>
    <font>
      <b/>
      <sz val="11"/>
      <color theme="1"/>
      <name val="Calibri"/>
      <family val="2"/>
      <scheme val="minor"/>
    </font>
    <font>
      <i/>
      <sz val="11"/>
      <color theme="1"/>
      <name val="Calibri"/>
      <family val="2"/>
      <scheme val="minor"/>
    </font>
    <font>
      <b/>
      <i/>
      <sz val="12"/>
      <color theme="1"/>
      <name val="Calibri"/>
      <family val="2"/>
      <scheme val="minor"/>
    </font>
    <font>
      <b/>
      <sz val="12"/>
      <color theme="6" tint="-0.499984740745262"/>
      <name val="Arial"/>
      <family val="2"/>
    </font>
    <font>
      <sz val="11"/>
      <color theme="6" tint="-0.499984740745262"/>
      <name val="Calibri"/>
      <family val="2"/>
      <scheme val="minor"/>
    </font>
    <font>
      <b/>
      <sz val="14"/>
      <color theme="6" tint="-0.499984740745262"/>
      <name val="Arial"/>
      <family val="2"/>
    </font>
    <font>
      <sz val="11"/>
      <color theme="1"/>
      <name val="Calibri"/>
      <family val="2"/>
      <scheme val="minor"/>
    </font>
    <font>
      <sz val="11"/>
      <color rgb="FFFF0000"/>
      <name val="Calibri"/>
      <family val="2"/>
      <scheme val="minor"/>
    </font>
    <font>
      <sz val="11"/>
      <color rgb="FF000000"/>
      <name val="Calibri"/>
      <family val="2"/>
      <scheme val="minor"/>
    </font>
    <font>
      <b/>
      <sz val="10"/>
      <color theme="3" tint="-0.499984740745262"/>
      <name val="Arial"/>
      <family val="2"/>
    </font>
    <font>
      <b/>
      <sz val="12"/>
      <color theme="3" tint="-0.499984740745262"/>
      <name val="Arial"/>
      <family val="2"/>
    </font>
    <font>
      <b/>
      <sz val="12"/>
      <color theme="1"/>
      <name val="Calibri"/>
      <family val="2"/>
      <scheme val="minor"/>
    </font>
    <font>
      <b/>
      <u/>
      <sz val="10"/>
      <name val="Arial"/>
      <family val="2"/>
    </font>
    <font>
      <b/>
      <sz val="16"/>
      <color theme="6" tint="-0.499984740745262"/>
      <name val="Arial"/>
      <family val="2"/>
    </font>
    <font>
      <b/>
      <sz val="10"/>
      <color rgb="FFFF0000"/>
      <name val="Arial"/>
      <family val="2"/>
    </font>
    <font>
      <sz val="12"/>
      <color theme="1"/>
      <name val="Calibri"/>
      <family val="2"/>
      <scheme val="minor"/>
    </font>
    <font>
      <b/>
      <vertAlign val="superscript"/>
      <sz val="12"/>
      <name val="Arial"/>
      <family val="2"/>
    </font>
    <font>
      <sz val="12"/>
      <name val="Arial"/>
      <family val="2"/>
    </font>
    <font>
      <sz val="12"/>
      <name val="Calibri"/>
      <family val="2"/>
      <scheme val="minor"/>
    </font>
    <font>
      <sz val="12"/>
      <color rgb="FFFF0000"/>
      <name val="Calibri"/>
      <family val="2"/>
      <scheme val="minor"/>
    </font>
    <font>
      <i/>
      <sz val="12"/>
      <color theme="1"/>
      <name val="Calibri"/>
      <family val="2"/>
      <scheme val="minor"/>
    </font>
    <font>
      <b/>
      <sz val="12"/>
      <color theme="1"/>
      <name val="Arial"/>
      <family val="2"/>
    </font>
    <font>
      <vertAlign val="superscript"/>
      <sz val="12"/>
      <color theme="1"/>
      <name val="Calibri"/>
      <family val="2"/>
      <scheme val="minor"/>
    </font>
    <font>
      <b/>
      <sz val="14"/>
      <color theme="1"/>
      <name val="Calibri"/>
      <family val="2"/>
      <scheme val="minor"/>
    </font>
    <font>
      <b/>
      <sz val="12"/>
      <name val="Calibri"/>
      <family val="2"/>
      <scheme val="minor"/>
    </font>
    <font>
      <b/>
      <sz val="11"/>
      <name val="Calibri"/>
      <family val="2"/>
      <scheme val="minor"/>
    </font>
    <font>
      <b/>
      <sz val="14"/>
      <name val="Arial"/>
      <family val="2"/>
    </font>
    <font>
      <vertAlign val="superscript"/>
      <sz val="12"/>
      <name val="Calibri"/>
      <family val="2"/>
      <scheme val="minor"/>
    </font>
    <font>
      <b/>
      <sz val="14"/>
      <name val="Calibri"/>
      <family val="2"/>
      <scheme val="minor"/>
    </font>
    <font>
      <u/>
      <sz val="11"/>
      <color theme="10"/>
      <name val="Calibri"/>
      <family val="2"/>
      <scheme val="minor"/>
    </font>
    <font>
      <sz val="11"/>
      <color theme="10"/>
      <name val="Calibri"/>
      <family val="2"/>
      <scheme val="minor"/>
    </font>
    <font>
      <sz val="11"/>
      <color theme="1" tint="4.9989318521683403E-2"/>
      <name val="Calibri"/>
      <family val="2"/>
      <scheme val="minor"/>
    </font>
    <font>
      <b/>
      <i/>
      <sz val="12"/>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39997558519241921"/>
        <bgColor indexed="64"/>
      </patternFill>
    </fill>
  </fills>
  <borders count="75">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3" tint="-0.249977111117893"/>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ck">
        <color theme="3" tint="-0.249977111117893"/>
      </left>
      <right/>
      <top style="thick">
        <color theme="3" tint="-0.249977111117893"/>
      </top>
      <bottom style="thick">
        <color theme="3" tint="-0.249977111117893"/>
      </bottom>
      <diagonal/>
    </border>
    <border>
      <left/>
      <right/>
      <top style="thick">
        <color theme="3" tint="-0.249977111117893"/>
      </top>
      <bottom style="thick">
        <color theme="3" tint="-0.249977111117893"/>
      </bottom>
      <diagonal/>
    </border>
    <border>
      <left/>
      <right style="thick">
        <color theme="3" tint="-0.249977111117893"/>
      </right>
      <top style="thick">
        <color theme="3" tint="-0.249977111117893"/>
      </top>
      <bottom style="thick">
        <color theme="3" tint="-0.249977111117893"/>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thick">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9" fontId="17" fillId="0" borderId="0" applyFont="0" applyFill="0" applyBorder="0" applyAlignment="0" applyProtection="0"/>
    <xf numFmtId="43" fontId="17" fillId="0" borderId="0" applyFont="0" applyFill="0" applyBorder="0" applyAlignment="0" applyProtection="0"/>
  </cellStyleXfs>
  <cellXfs count="381">
    <xf numFmtId="0" fontId="0" fillId="0" borderId="0" xfId="0"/>
    <xf numFmtId="0" fontId="2" fillId="2" borderId="0" xfId="0" applyFont="1" applyFill="1" applyAlignment="1">
      <alignment horizontal="center"/>
    </xf>
    <xf numFmtId="0" fontId="0" fillId="2" borderId="0" xfId="0" applyFill="1"/>
    <xf numFmtId="0" fontId="5" fillId="2" borderId="0" xfId="0" applyFont="1" applyFill="1"/>
    <xf numFmtId="0" fontId="3" fillId="2" borderId="0" xfId="0" applyFont="1" applyFill="1"/>
    <xf numFmtId="3" fontId="0" fillId="2" borderId="0" xfId="0" applyNumberFormat="1" applyFill="1"/>
    <xf numFmtId="0" fontId="0" fillId="0" borderId="0" xfId="0" applyFill="1"/>
    <xf numFmtId="0" fontId="3" fillId="2" borderId="3" xfId="0" applyFont="1" applyFill="1" applyBorder="1"/>
    <xf numFmtId="0" fontId="3" fillId="2" borderId="5" xfId="0" applyFont="1" applyFill="1" applyBorder="1"/>
    <xf numFmtId="0" fontId="3" fillId="2" borderId="4" xfId="0" applyFont="1" applyFill="1" applyBorder="1"/>
    <xf numFmtId="0" fontId="6" fillId="2" borderId="4" xfId="0" applyFont="1" applyFill="1" applyBorder="1"/>
    <xf numFmtId="0" fontId="0" fillId="6" borderId="0" xfId="0" applyFill="1"/>
    <xf numFmtId="0" fontId="2" fillId="6" borderId="0" xfId="0" applyFont="1" applyFill="1"/>
    <xf numFmtId="0" fontId="8" fillId="6" borderId="0" xfId="0" applyFont="1" applyFill="1"/>
    <xf numFmtId="0" fontId="5" fillId="2" borderId="0" xfId="0" applyFont="1" applyFill="1" applyBorder="1" applyAlignment="1">
      <alignment vertical="center"/>
    </xf>
    <xf numFmtId="165" fontId="5" fillId="2" borderId="0" xfId="0" applyNumberFormat="1" applyFont="1" applyFill="1" applyBorder="1" applyAlignment="1">
      <alignment horizontal="center"/>
    </xf>
    <xf numFmtId="165" fontId="5" fillId="2" borderId="0" xfId="0" applyNumberFormat="1" applyFont="1" applyFill="1" applyBorder="1"/>
    <xf numFmtId="3" fontId="5" fillId="2" borderId="0" xfId="0" applyNumberFormat="1" applyFont="1" applyFill="1" applyBorder="1" applyAlignment="1">
      <alignment horizontal="center"/>
    </xf>
    <xf numFmtId="0" fontId="0" fillId="2" borderId="4" xfId="0" applyFill="1" applyBorder="1" applyAlignment="1">
      <alignment horizontal="center"/>
    </xf>
    <xf numFmtId="0" fontId="0" fillId="2" borderId="0" xfId="0" applyFill="1" applyBorder="1"/>
    <xf numFmtId="0" fontId="11" fillId="2" borderId="0" xfId="0" applyFont="1" applyFill="1"/>
    <xf numFmtId="0" fontId="16" fillId="2" borderId="0" xfId="0" applyFont="1" applyFill="1"/>
    <xf numFmtId="0" fontId="18" fillId="2" borderId="0" xfId="0" applyFont="1" applyFill="1"/>
    <xf numFmtId="0" fontId="0" fillId="6" borderId="17" xfId="0" applyFill="1" applyBorder="1" applyAlignment="1">
      <alignment horizontal="center"/>
    </xf>
    <xf numFmtId="2" fontId="0" fillId="6" borderId="0" xfId="0" applyNumberFormat="1" applyFill="1" applyBorder="1" applyAlignment="1">
      <alignment horizontal="center"/>
    </xf>
    <xf numFmtId="0" fontId="0" fillId="6" borderId="0" xfId="0" applyFill="1" applyBorder="1" applyAlignment="1">
      <alignment horizontal="center"/>
    </xf>
    <xf numFmtId="2" fontId="0" fillId="6" borderId="19" xfId="0" applyNumberFormat="1" applyFill="1" applyBorder="1" applyAlignment="1">
      <alignment horizontal="center"/>
    </xf>
    <xf numFmtId="0" fontId="0" fillId="6" borderId="19" xfId="0" applyFill="1" applyBorder="1" applyAlignment="1">
      <alignment horizontal="center"/>
    </xf>
    <xf numFmtId="2" fontId="11" fillId="6" borderId="0" xfId="0" applyNumberFormat="1" applyFont="1" applyFill="1" applyBorder="1" applyAlignment="1">
      <alignment horizontal="center"/>
    </xf>
    <xf numFmtId="1" fontId="0" fillId="6" borderId="21" xfId="0" applyNumberFormat="1" applyFill="1" applyBorder="1" applyAlignment="1">
      <alignment horizontal="center"/>
    </xf>
    <xf numFmtId="0" fontId="0" fillId="6" borderId="23" xfId="0" applyFill="1" applyBorder="1" applyAlignment="1">
      <alignment horizontal="center"/>
    </xf>
    <xf numFmtId="0" fontId="0" fillId="6" borderId="21" xfId="0" applyFill="1" applyBorder="1" applyAlignment="1">
      <alignment horizontal="center"/>
    </xf>
    <xf numFmtId="0" fontId="0" fillId="6" borderId="25" xfId="0" applyFill="1" applyBorder="1" applyAlignment="1">
      <alignment horizontal="center"/>
    </xf>
    <xf numFmtId="0" fontId="0" fillId="6" borderId="14" xfId="0" applyFill="1" applyBorder="1"/>
    <xf numFmtId="0" fontId="0" fillId="6" borderId="15" xfId="0" applyFill="1" applyBorder="1" applyAlignment="1">
      <alignment horizontal="center"/>
    </xf>
    <xf numFmtId="0" fontId="0" fillId="6" borderId="16" xfId="0" applyFill="1" applyBorder="1" applyAlignment="1">
      <alignment horizontal="center"/>
    </xf>
    <xf numFmtId="0" fontId="5" fillId="2" borderId="27" xfId="0" applyFont="1" applyFill="1" applyBorder="1" applyAlignment="1">
      <alignment horizontal="center" vertical="center" wrapText="1"/>
    </xf>
    <xf numFmtId="0" fontId="0" fillId="2" borderId="15" xfId="0" applyFill="1" applyBorder="1"/>
    <xf numFmtId="0" fontId="0" fillId="2" borderId="0" xfId="0" applyFill="1" applyBorder="1" applyAlignment="1">
      <alignment horizontal="center"/>
    </xf>
    <xf numFmtId="0" fontId="0" fillId="2" borderId="0" xfId="0" applyNumberFormat="1" applyFill="1" applyBorder="1"/>
    <xf numFmtId="0" fontId="0" fillId="2" borderId="15" xfId="0" applyNumberFormat="1" applyFill="1" applyBorder="1"/>
    <xf numFmtId="1" fontId="0" fillId="2" borderId="4" xfId="0" applyNumberFormat="1" applyFill="1" applyBorder="1" applyAlignment="1">
      <alignment horizontal="center"/>
    </xf>
    <xf numFmtId="0" fontId="0" fillId="2" borderId="32" xfId="0" applyFill="1" applyBorder="1"/>
    <xf numFmtId="0" fontId="0" fillId="2" borderId="32" xfId="0" applyNumberFormat="1" applyFill="1" applyBorder="1"/>
    <xf numFmtId="0" fontId="0" fillId="2" borderId="5" xfId="0" applyFill="1" applyBorder="1" applyAlignment="1">
      <alignment horizontal="center"/>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11" fillId="2" borderId="33" xfId="0" applyFont="1" applyFill="1" applyBorder="1" applyAlignment="1">
      <alignment horizontal="left" vertical="center"/>
    </xf>
    <xf numFmtId="0" fontId="11" fillId="2" borderId="34" xfId="0" applyFont="1" applyFill="1" applyBorder="1" applyAlignment="1">
      <alignment horizontal="center" vertical="center" wrapText="1"/>
    </xf>
    <xf numFmtId="0" fontId="11" fillId="2" borderId="34" xfId="0" applyFont="1" applyFill="1" applyBorder="1" applyAlignment="1">
      <alignment horizontal="center" vertical="center"/>
    </xf>
    <xf numFmtId="0" fontId="5" fillId="2" borderId="0" xfId="0" applyFont="1" applyFill="1" applyBorder="1" applyAlignment="1">
      <alignment horizontal="center"/>
    </xf>
    <xf numFmtId="164" fontId="0" fillId="2" borderId="5" xfId="0" applyNumberFormat="1" applyFill="1" applyBorder="1" applyAlignment="1">
      <alignment horizontal="center"/>
    </xf>
    <xf numFmtId="165" fontId="0" fillId="2" borderId="5" xfId="0" applyNumberFormat="1" applyFill="1" applyBorder="1" applyAlignment="1">
      <alignment horizontal="center"/>
    </xf>
    <xf numFmtId="0" fontId="11" fillId="6" borderId="19" xfId="0" applyFont="1" applyFill="1" applyBorder="1" applyAlignment="1">
      <alignment horizontal="center"/>
    </xf>
    <xf numFmtId="0" fontId="11" fillId="6" borderId="25" xfId="0" applyFont="1" applyFill="1" applyBorder="1" applyAlignment="1">
      <alignment horizontal="center"/>
    </xf>
    <xf numFmtId="1" fontId="0" fillId="6" borderId="6" xfId="0" applyNumberFormat="1" applyFill="1" applyBorder="1" applyAlignment="1">
      <alignment horizontal="center"/>
    </xf>
    <xf numFmtId="1" fontId="0" fillId="6" borderId="18" xfId="0" applyNumberFormat="1" applyFill="1" applyBorder="1" applyAlignment="1">
      <alignment horizontal="center"/>
    </xf>
    <xf numFmtId="1" fontId="0" fillId="6" borderId="39" xfId="0" applyNumberFormat="1" applyFill="1" applyBorder="1" applyAlignment="1">
      <alignment horizontal="center"/>
    </xf>
    <xf numFmtId="0" fontId="9" fillId="2" borderId="0" xfId="0" applyFont="1" applyFill="1" applyBorder="1" applyAlignment="1">
      <alignment horizontal="right"/>
    </xf>
    <xf numFmtId="0" fontId="9" fillId="2" borderId="0" xfId="0" applyFont="1" applyFill="1" applyBorder="1"/>
    <xf numFmtId="0" fontId="19" fillId="2" borderId="0" xfId="0" applyFont="1" applyFill="1"/>
    <xf numFmtId="165" fontId="5" fillId="2" borderId="41" xfId="0" applyNumberFormat="1" applyFont="1" applyFill="1" applyBorder="1" applyAlignment="1">
      <alignment horizontal="center"/>
    </xf>
    <xf numFmtId="165" fontId="5" fillId="2" borderId="41" xfId="0" applyNumberFormat="1" applyFont="1" applyFill="1" applyBorder="1"/>
    <xf numFmtId="3" fontId="5" fillId="2" borderId="42" xfId="0" applyNumberFormat="1" applyFont="1" applyFill="1" applyBorder="1" applyAlignment="1">
      <alignment horizontal="center"/>
    </xf>
    <xf numFmtId="3" fontId="20" fillId="2" borderId="0" xfId="0" applyNumberFormat="1" applyFont="1" applyFill="1" applyBorder="1" applyAlignment="1">
      <alignment horizontal="center"/>
    </xf>
    <xf numFmtId="0" fontId="21" fillId="2" borderId="40" xfId="0" applyFont="1" applyFill="1" applyBorder="1" applyAlignment="1">
      <alignment horizontal="right"/>
    </xf>
    <xf numFmtId="0" fontId="21" fillId="2" borderId="41" xfId="0" applyFont="1" applyFill="1" applyBorder="1"/>
    <xf numFmtId="0" fontId="21" fillId="2" borderId="9" xfId="0" applyFont="1" applyFill="1" applyBorder="1" applyAlignment="1">
      <alignment horizontal="right"/>
    </xf>
    <xf numFmtId="0" fontId="21" fillId="2" borderId="10" xfId="0" applyFont="1" applyFill="1" applyBorder="1"/>
    <xf numFmtId="0" fontId="21" fillId="2" borderId="42" xfId="0" applyFont="1" applyFill="1" applyBorder="1"/>
    <xf numFmtId="0" fontId="0" fillId="2" borderId="10" xfId="0" applyFill="1" applyBorder="1"/>
    <xf numFmtId="0" fontId="11" fillId="2" borderId="33" xfId="0" applyFont="1" applyFill="1" applyBorder="1" applyAlignment="1">
      <alignment horizontal="left" vertical="center" wrapText="1"/>
    </xf>
    <xf numFmtId="0" fontId="2" fillId="2" borderId="0" xfId="0" applyFont="1" applyFill="1" applyAlignment="1">
      <alignment horizontal="right"/>
    </xf>
    <xf numFmtId="0" fontId="0" fillId="2" borderId="9" xfId="0" applyFill="1" applyBorder="1"/>
    <xf numFmtId="0" fontId="22" fillId="2" borderId="0" xfId="0" applyFont="1" applyFill="1"/>
    <xf numFmtId="164" fontId="7" fillId="2" borderId="4" xfId="2" applyNumberFormat="1" applyFont="1" applyFill="1" applyBorder="1" applyAlignment="1">
      <alignment horizontal="center"/>
    </xf>
    <xf numFmtId="165" fontId="7" fillId="2" borderId="4" xfId="2" applyNumberFormat="1" applyFont="1" applyFill="1" applyBorder="1" applyAlignment="1">
      <alignment horizontal="center"/>
    </xf>
    <xf numFmtId="164" fontId="0" fillId="2" borderId="5" xfId="0" applyNumberForma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7" fillId="2" borderId="0" xfId="2" applyNumberFormat="1" applyFont="1" applyFill="1" applyBorder="1" applyAlignment="1">
      <alignment horizontal="center"/>
    </xf>
    <xf numFmtId="3" fontId="5" fillId="2" borderId="0" xfId="0" applyNumberFormat="1" applyFont="1" applyFill="1" applyBorder="1" applyAlignment="1">
      <alignment wrapText="1"/>
    </xf>
    <xf numFmtId="0" fontId="0" fillId="2" borderId="0" xfId="0" applyFill="1" applyBorder="1" applyAlignment="1">
      <alignment horizontal="center" vertical="center" wrapText="1"/>
    </xf>
    <xf numFmtId="3" fontId="5" fillId="2" borderId="0" xfId="0" applyNumberFormat="1" applyFont="1" applyFill="1" applyBorder="1" applyAlignment="1">
      <alignment horizontal="left"/>
    </xf>
    <xf numFmtId="3" fontId="5" fillId="2" borderId="0" xfId="0" applyNumberFormat="1" applyFont="1" applyFill="1" applyBorder="1" applyAlignment="1"/>
    <xf numFmtId="0" fontId="0" fillId="2" borderId="30" xfId="0" applyFill="1" applyBorder="1" applyAlignment="1">
      <alignment horizontal="center"/>
    </xf>
    <xf numFmtId="165" fontId="0" fillId="2" borderId="30" xfId="0" applyNumberFormat="1" applyFill="1" applyBorder="1" applyAlignment="1">
      <alignment horizontal="center"/>
    </xf>
    <xf numFmtId="164" fontId="0" fillId="2" borderId="30" xfId="0" applyNumberFormat="1" applyFill="1" applyBorder="1" applyAlignment="1">
      <alignment horizontal="center"/>
    </xf>
    <xf numFmtId="1" fontId="0" fillId="2" borderId="5" xfId="0" applyNumberFormat="1" applyFill="1" applyBorder="1" applyAlignment="1">
      <alignment horizontal="center"/>
    </xf>
    <xf numFmtId="1" fontId="0" fillId="2" borderId="30" xfId="0" applyNumberFormat="1" applyFill="1" applyBorder="1" applyAlignment="1">
      <alignment horizontal="center"/>
    </xf>
    <xf numFmtId="0" fontId="24" fillId="2" borderId="0" xfId="0" applyFont="1" applyFill="1"/>
    <xf numFmtId="0" fontId="0" fillId="2" borderId="0" xfId="0" applyFont="1" applyFill="1" applyAlignment="1">
      <alignment horizontal="left"/>
    </xf>
    <xf numFmtId="0" fontId="6" fillId="2" borderId="0" xfId="0" applyFont="1" applyFill="1" applyBorder="1"/>
    <xf numFmtId="0" fontId="4" fillId="0" borderId="0" xfId="1" applyAlignment="1" applyProtection="1">
      <alignment horizontal="justify"/>
    </xf>
    <xf numFmtId="0" fontId="0" fillId="0" borderId="0" xfId="0" applyAlignment="1">
      <alignment vertical="top" wrapText="1"/>
    </xf>
    <xf numFmtId="0" fontId="0" fillId="0" borderId="0" xfId="0" applyFill="1" applyAlignment="1">
      <alignment vertical="top" wrapText="1"/>
    </xf>
    <xf numFmtId="0" fontId="18" fillId="2" borderId="0" xfId="0" applyFont="1" applyFill="1" applyBorder="1" applyAlignment="1">
      <alignment horizontal="center"/>
    </xf>
    <xf numFmtId="164" fontId="18" fillId="2" borderId="0" xfId="2" applyNumberFormat="1" applyFont="1" applyFill="1" applyBorder="1" applyAlignment="1">
      <alignment horizontal="center"/>
    </xf>
    <xf numFmtId="165" fontId="25" fillId="2" borderId="0" xfId="0" applyNumberFormat="1" applyFont="1" applyFill="1" applyBorder="1" applyAlignment="1">
      <alignment horizontal="left"/>
    </xf>
    <xf numFmtId="0" fontId="22" fillId="6" borderId="0" xfId="0" applyFont="1" applyFill="1"/>
    <xf numFmtId="0" fontId="26" fillId="2" borderId="0" xfId="0" applyFont="1" applyFill="1"/>
    <xf numFmtId="0" fontId="26" fillId="0" borderId="0" xfId="0" applyFont="1"/>
    <xf numFmtId="0" fontId="26" fillId="8" borderId="0" xfId="0" applyFont="1" applyFill="1"/>
    <xf numFmtId="0" fontId="1" fillId="3" borderId="1" xfId="0" applyFont="1" applyFill="1" applyBorder="1" applyAlignment="1">
      <alignment horizontal="center" wrapText="1"/>
    </xf>
    <xf numFmtId="0" fontId="1" fillId="3" borderId="4" xfId="0" applyFont="1" applyFill="1" applyBorder="1" applyAlignment="1">
      <alignment horizontal="center" vertical="center"/>
    </xf>
    <xf numFmtId="0" fontId="1" fillId="3" borderId="4" xfId="0" applyFont="1" applyFill="1" applyBorder="1" applyAlignment="1">
      <alignment horizontal="center"/>
    </xf>
    <xf numFmtId="0" fontId="1" fillId="4" borderId="5" xfId="0" quotePrefix="1" applyFont="1" applyFill="1" applyBorder="1" applyAlignment="1">
      <alignment horizontal="center" wrapText="1"/>
    </xf>
    <xf numFmtId="9" fontId="26" fillId="0" borderId="4" xfId="0" applyNumberFormat="1" applyFont="1" applyBorder="1" applyAlignment="1">
      <alignment horizontal="center"/>
    </xf>
    <xf numFmtId="3" fontId="26" fillId="0" borderId="4" xfId="0" applyNumberFormat="1" applyFont="1" applyBorder="1" applyAlignment="1">
      <alignment horizontal="center"/>
    </xf>
    <xf numFmtId="2" fontId="28" fillId="0" borderId="4" xfId="0" applyNumberFormat="1" applyFont="1" applyFill="1" applyBorder="1" applyAlignment="1">
      <alignment horizontal="center" vertical="top" wrapText="1"/>
    </xf>
    <xf numFmtId="3" fontId="29" fillId="0" borderId="4" xfId="0" applyNumberFormat="1" applyFont="1" applyBorder="1" applyAlignment="1">
      <alignment horizontal="center"/>
    </xf>
    <xf numFmtId="0" fontId="26" fillId="0" borderId="4" xfId="0" applyFont="1" applyBorder="1" applyAlignment="1">
      <alignment horizontal="center"/>
    </xf>
    <xf numFmtId="0" fontId="26" fillId="6" borderId="0" xfId="0" applyFont="1" applyFill="1"/>
    <xf numFmtId="0" fontId="31" fillId="0" borderId="0" xfId="0" applyFont="1"/>
    <xf numFmtId="0" fontId="26" fillId="0" borderId="0" xfId="0" applyFont="1" applyFill="1" applyBorder="1"/>
    <xf numFmtId="0" fontId="1" fillId="0" borderId="0" xfId="0" applyFont="1" applyFill="1" applyBorder="1" applyAlignment="1">
      <alignment wrapText="1"/>
    </xf>
    <xf numFmtId="0" fontId="26" fillId="0" borderId="0" xfId="0" applyFont="1" applyFill="1" applyBorder="1" applyAlignment="1">
      <alignment wrapText="1"/>
    </xf>
    <xf numFmtId="0" fontId="26" fillId="0" borderId="0" xfId="0" applyFont="1" applyFill="1" applyBorder="1" applyAlignment="1">
      <alignment horizontal="center"/>
    </xf>
    <xf numFmtId="166" fontId="26" fillId="0" borderId="0" xfId="0" applyNumberFormat="1" applyFont="1" applyFill="1" applyBorder="1" applyAlignment="1">
      <alignment horizontal="center"/>
    </xf>
    <xf numFmtId="0" fontId="26" fillId="7" borderId="0" xfId="0" applyFont="1" applyFill="1"/>
    <xf numFmtId="0" fontId="26" fillId="7" borderId="0" xfId="0" applyFont="1" applyFill="1" applyBorder="1"/>
    <xf numFmtId="0" fontId="32" fillId="0" borderId="0" xfId="0" applyFont="1" applyFill="1" applyBorder="1" applyAlignment="1">
      <alignment wrapText="1"/>
    </xf>
    <xf numFmtId="0" fontId="26" fillId="0" borderId="0" xfId="0" applyFont="1" applyFill="1"/>
    <xf numFmtId="0" fontId="22" fillId="0" borderId="0" xfId="0" applyFont="1" applyFill="1" applyBorder="1"/>
    <xf numFmtId="0" fontId="26" fillId="6" borderId="22" xfId="0" applyFont="1" applyFill="1" applyBorder="1"/>
    <xf numFmtId="0" fontId="26" fillId="6" borderId="17" xfId="0" applyFont="1" applyFill="1" applyBorder="1"/>
    <xf numFmtId="2" fontId="26" fillId="6" borderId="17" xfId="0" applyNumberFormat="1" applyFont="1" applyFill="1" applyBorder="1" applyAlignment="1">
      <alignment horizontal="center"/>
    </xf>
    <xf numFmtId="1" fontId="26" fillId="6" borderId="17" xfId="0" applyNumberFormat="1" applyFont="1" applyFill="1" applyBorder="1" applyAlignment="1">
      <alignment horizontal="center"/>
    </xf>
    <xf numFmtId="0" fontId="26" fillId="6" borderId="20" xfId="0" applyFont="1" applyFill="1" applyBorder="1"/>
    <xf numFmtId="0" fontId="26" fillId="6" borderId="0" xfId="0" applyFont="1" applyFill="1" applyBorder="1"/>
    <xf numFmtId="2" fontId="26" fillId="6" borderId="0" xfId="0" applyNumberFormat="1" applyFont="1" applyFill="1" applyBorder="1" applyAlignment="1">
      <alignment horizontal="center"/>
    </xf>
    <xf numFmtId="1" fontId="26" fillId="6" borderId="0" xfId="0" applyNumberFormat="1" applyFont="1" applyFill="1" applyBorder="1" applyAlignment="1">
      <alignment horizontal="center"/>
    </xf>
    <xf numFmtId="2" fontId="26" fillId="0" borderId="0" xfId="0" applyNumberFormat="1" applyFont="1" applyFill="1" applyBorder="1" applyAlignment="1">
      <alignment horizontal="center"/>
    </xf>
    <xf numFmtId="0" fontId="22" fillId="0" borderId="0" xfId="0" applyNumberFormat="1" applyFont="1" applyFill="1" applyBorder="1"/>
    <xf numFmtId="2" fontId="22" fillId="0" borderId="0" xfId="0" applyNumberFormat="1" applyFont="1" applyFill="1" applyBorder="1" applyAlignment="1">
      <alignment horizontal="center"/>
    </xf>
    <xf numFmtId="0" fontId="22" fillId="0" borderId="0" xfId="0" applyFont="1" applyFill="1" applyBorder="1" applyAlignment="1">
      <alignment horizontal="center"/>
    </xf>
    <xf numFmtId="1" fontId="26" fillId="0" borderId="0" xfId="0" applyNumberFormat="1" applyFont="1" applyFill="1" applyBorder="1"/>
    <xf numFmtId="0" fontId="26" fillId="6" borderId="24" xfId="0" applyFont="1" applyFill="1" applyBorder="1"/>
    <xf numFmtId="0" fontId="26" fillId="0" borderId="0" xfId="0" applyNumberFormat="1" applyFont="1" applyFill="1" applyBorder="1"/>
    <xf numFmtId="1" fontId="26" fillId="0" borderId="0" xfId="0" applyNumberFormat="1" applyFont="1" applyFill="1" applyBorder="1" applyAlignment="1">
      <alignment horizontal="center"/>
    </xf>
    <xf numFmtId="0" fontId="26" fillId="6" borderId="17" xfId="0" applyFont="1" applyFill="1" applyBorder="1" applyAlignment="1">
      <alignment horizontal="center"/>
    </xf>
    <xf numFmtId="0" fontId="26" fillId="6" borderId="0" xfId="0" applyFont="1" applyFill="1" applyBorder="1" applyAlignment="1">
      <alignment horizontal="center"/>
    </xf>
    <xf numFmtId="0" fontId="26" fillId="6" borderId="19" xfId="0" applyFont="1" applyFill="1" applyBorder="1"/>
    <xf numFmtId="2" fontId="26" fillId="6" borderId="19" xfId="0" applyNumberFormat="1" applyFont="1" applyFill="1" applyBorder="1" applyAlignment="1">
      <alignment horizontal="center"/>
    </xf>
    <xf numFmtId="0" fontId="26" fillId="6" borderId="19" xfId="0" applyFont="1" applyFill="1" applyBorder="1" applyAlignment="1">
      <alignment horizontal="center"/>
    </xf>
    <xf numFmtId="1" fontId="26" fillId="6" borderId="20" xfId="0" applyNumberFormat="1" applyFont="1" applyFill="1" applyBorder="1"/>
    <xf numFmtId="0" fontId="26" fillId="6" borderId="0" xfId="0" applyNumberFormat="1" applyFont="1" applyFill="1" applyBorder="1"/>
    <xf numFmtId="1" fontId="26" fillId="6" borderId="22" xfId="0" applyNumberFormat="1" applyFont="1" applyFill="1" applyBorder="1"/>
    <xf numFmtId="0" fontId="26" fillId="6" borderId="17" xfId="0" applyNumberFormat="1" applyFont="1" applyFill="1" applyBorder="1"/>
    <xf numFmtId="1" fontId="26" fillId="6" borderId="24" xfId="0" applyNumberFormat="1" applyFont="1" applyFill="1" applyBorder="1"/>
    <xf numFmtId="0" fontId="26" fillId="6" borderId="19" xfId="0" applyNumberFormat="1" applyFont="1" applyFill="1" applyBorder="1"/>
    <xf numFmtId="0" fontId="26" fillId="0" borderId="0" xfId="0" applyFont="1" applyBorder="1"/>
    <xf numFmtId="0" fontId="30" fillId="0" borderId="0" xfId="0" applyFont="1"/>
    <xf numFmtId="0" fontId="26" fillId="6" borderId="4" xfId="0" applyFont="1" applyFill="1" applyBorder="1" applyAlignment="1">
      <alignment horizontal="center" wrapText="1"/>
    </xf>
    <xf numFmtId="0" fontId="29" fillId="0" borderId="4" xfId="0" applyFont="1" applyBorder="1"/>
    <xf numFmtId="0" fontId="26" fillId="0" borderId="4" xfId="0" applyFont="1" applyBorder="1"/>
    <xf numFmtId="0" fontId="34" fillId="2" borderId="0" xfId="0" applyFont="1" applyFill="1"/>
    <xf numFmtId="0" fontId="34" fillId="7" borderId="0" xfId="0" applyFont="1" applyFill="1"/>
    <xf numFmtId="0" fontId="34" fillId="8" borderId="0" xfId="0" applyFont="1" applyFill="1"/>
    <xf numFmtId="0" fontId="29" fillId="6" borderId="0" xfId="0" applyFont="1" applyFill="1" applyAlignment="1"/>
    <xf numFmtId="164" fontId="0" fillId="2" borderId="0" xfId="0" applyNumberFormat="1" applyFill="1" applyBorder="1" applyAlignment="1">
      <alignment horizontal="center"/>
    </xf>
    <xf numFmtId="164" fontId="11" fillId="2" borderId="0" xfId="0" applyNumberFormat="1" applyFont="1" applyFill="1" applyBorder="1" applyAlignment="1">
      <alignment horizontal="center"/>
    </xf>
    <xf numFmtId="0" fontId="5" fillId="10" borderId="35" xfId="0" applyFont="1" applyFill="1" applyBorder="1" applyAlignment="1">
      <alignment horizontal="center" vertical="center" wrapText="1"/>
    </xf>
    <xf numFmtId="0" fontId="5" fillId="10" borderId="34" xfId="0" applyFont="1" applyFill="1" applyBorder="1" applyAlignment="1">
      <alignment horizontal="center" vertical="center" wrapText="1"/>
    </xf>
    <xf numFmtId="0" fontId="22" fillId="10" borderId="34" xfId="0" applyFont="1" applyFill="1" applyBorder="1" applyAlignment="1">
      <alignment horizontal="center" vertical="center"/>
    </xf>
    <xf numFmtId="164" fontId="22" fillId="10" borderId="37" xfId="0" applyNumberFormat="1" applyFont="1" applyFill="1" applyBorder="1" applyAlignment="1">
      <alignment horizontal="center"/>
    </xf>
    <xf numFmtId="0" fontId="35" fillId="10" borderId="35" xfId="0" applyFont="1" applyFill="1" applyBorder="1" applyAlignment="1">
      <alignment horizontal="center" vertical="center" wrapText="1"/>
    </xf>
    <xf numFmtId="0" fontId="35" fillId="10" borderId="34" xfId="0" applyFont="1" applyFill="1" applyBorder="1" applyAlignment="1">
      <alignment horizontal="center" vertical="center" wrapText="1"/>
    </xf>
    <xf numFmtId="0" fontId="36" fillId="2" borderId="35" xfId="0" applyFont="1" applyFill="1" applyBorder="1" applyAlignment="1">
      <alignment horizontal="center" vertical="center" wrapText="1"/>
    </xf>
    <xf numFmtId="0" fontId="36" fillId="2" borderId="34" xfId="0" applyFont="1" applyFill="1" applyBorder="1" applyAlignment="1">
      <alignment horizontal="center" vertical="center" wrapText="1"/>
    </xf>
    <xf numFmtId="0" fontId="0" fillId="2" borderId="0" xfId="0" applyFill="1" applyAlignment="1">
      <alignment wrapText="1"/>
    </xf>
    <xf numFmtId="0" fontId="35" fillId="10" borderId="51" xfId="0" applyFont="1" applyFill="1" applyBorder="1" applyAlignment="1">
      <alignment horizontal="center" vertical="center" wrapText="1"/>
    </xf>
    <xf numFmtId="1" fontId="0" fillId="2" borderId="0" xfId="0" applyNumberFormat="1" applyFill="1" applyBorder="1" applyAlignment="1">
      <alignment horizontal="center"/>
    </xf>
    <xf numFmtId="165" fontId="0" fillId="2" borderId="0" xfId="0" applyNumberFormat="1" applyFill="1" applyBorder="1" applyAlignment="1">
      <alignment horizontal="center"/>
    </xf>
    <xf numFmtId="0" fontId="22" fillId="10" borderId="36" xfId="0" applyFont="1" applyFill="1" applyBorder="1" applyAlignment="1">
      <alignment horizontal="right"/>
    </xf>
    <xf numFmtId="0" fontId="24" fillId="6" borderId="0" xfId="0" applyFont="1" applyFill="1"/>
    <xf numFmtId="0" fontId="12" fillId="6" borderId="5" xfId="0" applyFont="1" applyFill="1" applyBorder="1" applyAlignment="1">
      <alignment horizontal="center"/>
    </xf>
    <xf numFmtId="0" fontId="35" fillId="6" borderId="34" xfId="0" applyFont="1" applyFill="1" applyBorder="1" applyAlignment="1">
      <alignment horizontal="center" vertical="center" wrapText="1"/>
    </xf>
    <xf numFmtId="0" fontId="35" fillId="6" borderId="35" xfId="0" applyFont="1" applyFill="1" applyBorder="1" applyAlignment="1">
      <alignment horizontal="center" vertical="center" wrapText="1"/>
    </xf>
    <xf numFmtId="0" fontId="0" fillId="6" borderId="0" xfId="0" applyFill="1" applyAlignment="1">
      <alignment horizontal="center"/>
    </xf>
    <xf numFmtId="167" fontId="5" fillId="10" borderId="1" xfId="0" applyNumberFormat="1" applyFont="1" applyFill="1" applyBorder="1" applyAlignment="1">
      <alignment horizontal="center"/>
    </xf>
    <xf numFmtId="167" fontId="5" fillId="10" borderId="55" xfId="0" applyNumberFormat="1" applyFont="1" applyFill="1" applyBorder="1" applyAlignment="1">
      <alignment horizontal="center"/>
    </xf>
    <xf numFmtId="3" fontId="5" fillId="10" borderId="5" xfId="0" applyNumberFormat="1" applyFont="1" applyFill="1" applyBorder="1" applyAlignment="1">
      <alignment horizontal="center"/>
    </xf>
    <xf numFmtId="3" fontId="5" fillId="10" borderId="56" xfId="0" applyNumberFormat="1" applyFont="1" applyFill="1" applyBorder="1" applyAlignment="1">
      <alignment horizontal="center"/>
    </xf>
    <xf numFmtId="0" fontId="0" fillId="6" borderId="4" xfId="0" applyFill="1" applyBorder="1" applyAlignment="1">
      <alignment horizontal="center"/>
    </xf>
    <xf numFmtId="0" fontId="0" fillId="6" borderId="7" xfId="0" applyFill="1" applyBorder="1"/>
    <xf numFmtId="0" fontId="0" fillId="6" borderId="8" xfId="0" applyFill="1" applyBorder="1"/>
    <xf numFmtId="0" fontId="0" fillId="6" borderId="58" xfId="0" applyFill="1" applyBorder="1"/>
    <xf numFmtId="0" fontId="22" fillId="6" borderId="58" xfId="0" applyFont="1" applyFill="1" applyBorder="1"/>
    <xf numFmtId="0" fontId="0" fillId="6" borderId="48" xfId="0" applyFill="1" applyBorder="1"/>
    <xf numFmtId="0" fontId="0" fillId="6" borderId="59" xfId="0" applyFill="1" applyBorder="1"/>
    <xf numFmtId="0" fontId="0" fillId="6" borderId="49" xfId="0" applyFill="1" applyBorder="1"/>
    <xf numFmtId="0" fontId="0" fillId="6" borderId="60" xfId="0" applyFill="1" applyBorder="1"/>
    <xf numFmtId="0" fontId="0" fillId="6" borderId="16" xfId="0" applyFill="1" applyBorder="1"/>
    <xf numFmtId="3" fontId="0" fillId="6" borderId="4" xfId="0" applyNumberFormat="1" applyFill="1" applyBorder="1" applyAlignment="1">
      <alignment horizontal="center"/>
    </xf>
    <xf numFmtId="0" fontId="35" fillId="6" borderId="53" xfId="0" applyFont="1" applyFill="1" applyBorder="1" applyAlignment="1">
      <alignment horizontal="center" vertical="center" wrapText="1"/>
    </xf>
    <xf numFmtId="0" fontId="35" fillId="6" borderId="33" xfId="0" applyFont="1" applyFill="1" applyBorder="1" applyAlignment="1">
      <alignment horizontal="center" vertical="center" wrapText="1"/>
    </xf>
    <xf numFmtId="0" fontId="12" fillId="6" borderId="61" xfId="0" applyFont="1" applyFill="1" applyBorder="1" applyAlignment="1">
      <alignment horizontal="center" wrapText="1"/>
    </xf>
    <xf numFmtId="0" fontId="12" fillId="6" borderId="28" xfId="0" applyFont="1" applyFill="1" applyBorder="1" applyAlignment="1">
      <alignment horizontal="center" wrapText="1"/>
    </xf>
    <xf numFmtId="3" fontId="0" fillId="6" borderId="8" xfId="0" applyNumberFormat="1" applyFill="1" applyBorder="1" applyAlignment="1">
      <alignment horizontal="center"/>
    </xf>
    <xf numFmtId="0" fontId="5" fillId="10" borderId="36" xfId="0" applyFont="1" applyFill="1" applyBorder="1" applyAlignment="1">
      <alignment horizontal="center" vertical="center" wrapText="1"/>
    </xf>
    <xf numFmtId="3" fontId="35" fillId="10" borderId="34" xfId="0" applyNumberFormat="1" applyFont="1" applyFill="1" applyBorder="1" applyAlignment="1">
      <alignment horizontal="center" vertical="center"/>
    </xf>
    <xf numFmtId="3" fontId="35" fillId="10" borderId="35" xfId="0" applyNumberFormat="1" applyFont="1" applyFill="1" applyBorder="1" applyAlignment="1">
      <alignment horizontal="center" vertical="center"/>
    </xf>
    <xf numFmtId="167" fontId="5" fillId="10" borderId="30" xfId="0" applyNumberFormat="1" applyFont="1" applyFill="1" applyBorder="1" applyAlignment="1">
      <alignment horizontal="center"/>
    </xf>
    <xf numFmtId="167" fontId="5" fillId="10" borderId="31" xfId="0" applyNumberFormat="1" applyFont="1" applyFill="1" applyBorder="1" applyAlignment="1">
      <alignment horizontal="center"/>
    </xf>
    <xf numFmtId="0" fontId="11" fillId="6" borderId="38" xfId="0" applyFont="1" applyFill="1" applyBorder="1" applyAlignment="1">
      <alignment horizontal="center" vertical="center" wrapText="1"/>
    </xf>
    <xf numFmtId="0" fontId="0" fillId="6" borderId="64" xfId="0" applyFill="1" applyBorder="1"/>
    <xf numFmtId="0" fontId="0" fillId="6" borderId="43" xfId="0" applyFill="1" applyBorder="1"/>
    <xf numFmtId="0" fontId="0" fillId="6" borderId="57" xfId="0" applyFill="1" applyBorder="1"/>
    <xf numFmtId="0" fontId="0" fillId="6" borderId="31" xfId="0" applyFill="1" applyBorder="1"/>
    <xf numFmtId="0" fontId="0" fillId="9" borderId="33" xfId="0" applyFill="1" applyBorder="1" applyAlignment="1">
      <alignment horizontal="right"/>
    </xf>
    <xf numFmtId="3" fontId="0" fillId="9" borderId="34" xfId="0" applyNumberFormat="1" applyFill="1" applyBorder="1" applyAlignment="1">
      <alignment horizontal="center" vertical="center"/>
    </xf>
    <xf numFmtId="3" fontId="0" fillId="9" borderId="35" xfId="0" applyNumberFormat="1" applyFill="1" applyBorder="1" applyAlignment="1">
      <alignment horizontal="center" vertical="center"/>
    </xf>
    <xf numFmtId="164" fontId="22" fillId="10" borderId="33" xfId="0" applyNumberFormat="1" applyFont="1" applyFill="1" applyBorder="1" applyAlignment="1">
      <alignment horizontal="center" vertical="center" wrapText="1"/>
    </xf>
    <xf numFmtId="164" fontId="22" fillId="10" borderId="34" xfId="0" applyNumberFormat="1" applyFont="1" applyFill="1" applyBorder="1" applyAlignment="1">
      <alignment horizontal="center" vertical="center" wrapText="1"/>
    </xf>
    <xf numFmtId="164" fontId="22" fillId="10" borderId="35" xfId="0" applyNumberFormat="1" applyFont="1" applyFill="1" applyBorder="1" applyAlignment="1">
      <alignment horizontal="center" vertical="center" wrapText="1"/>
    </xf>
    <xf numFmtId="164" fontId="22" fillId="10" borderId="33" xfId="0" applyNumberFormat="1" applyFont="1" applyFill="1" applyBorder="1" applyAlignment="1">
      <alignment horizontal="center" wrapText="1"/>
    </xf>
    <xf numFmtId="164" fontId="22" fillId="10" borderId="34" xfId="0" applyNumberFormat="1" applyFont="1" applyFill="1" applyBorder="1" applyAlignment="1">
      <alignment horizontal="center" wrapText="1"/>
    </xf>
    <xf numFmtId="164" fontId="22" fillId="10" borderId="35" xfId="0" applyNumberFormat="1" applyFont="1" applyFill="1" applyBorder="1" applyAlignment="1">
      <alignment horizontal="center" wrapText="1"/>
    </xf>
    <xf numFmtId="0" fontId="26" fillId="0" borderId="0" xfId="0" applyFont="1" applyAlignment="1">
      <alignment vertical="center"/>
    </xf>
    <xf numFmtId="0" fontId="26" fillId="0" borderId="0" xfId="0" applyFont="1" applyAlignment="1">
      <alignment horizontal="center" vertical="center"/>
    </xf>
    <xf numFmtId="0" fontId="22" fillId="10" borderId="38" xfId="0" applyFont="1" applyFill="1" applyBorder="1" applyAlignment="1">
      <alignment horizontal="center"/>
    </xf>
    <xf numFmtId="0" fontId="22" fillId="10" borderId="33" xfId="0" applyFont="1" applyFill="1" applyBorder="1" applyAlignment="1">
      <alignment horizontal="center" vertical="center"/>
    </xf>
    <xf numFmtId="164" fontId="22" fillId="10" borderId="33" xfId="0" applyNumberFormat="1" applyFont="1" applyFill="1" applyBorder="1" applyAlignment="1">
      <alignment horizontal="center"/>
    </xf>
    <xf numFmtId="164" fontId="22" fillId="10" borderId="34" xfId="0" applyNumberFormat="1" applyFont="1" applyFill="1" applyBorder="1" applyAlignment="1">
      <alignment horizontal="center"/>
    </xf>
    <xf numFmtId="164" fontId="22" fillId="10" borderId="35" xfId="0" applyNumberFormat="1" applyFont="1" applyFill="1" applyBorder="1" applyAlignment="1">
      <alignment horizontal="center"/>
    </xf>
    <xf numFmtId="167" fontId="5" fillId="10" borderId="28" xfId="0" applyNumberFormat="1" applyFont="1" applyFill="1" applyBorder="1" applyAlignment="1">
      <alignment horizontal="center" vertical="center"/>
    </xf>
    <xf numFmtId="167" fontId="5" fillId="10" borderId="29" xfId="0" applyNumberFormat="1" applyFont="1" applyFill="1" applyBorder="1" applyAlignment="1">
      <alignment horizontal="center" vertical="center"/>
    </xf>
    <xf numFmtId="165" fontId="7" fillId="2" borderId="5" xfId="2" applyNumberFormat="1" applyFont="1" applyFill="1" applyBorder="1" applyAlignment="1">
      <alignment horizontal="center"/>
    </xf>
    <xf numFmtId="0" fontId="5" fillId="2" borderId="5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0" fillId="6" borderId="0" xfId="0" applyFont="1" applyFill="1"/>
    <xf numFmtId="0" fontId="18" fillId="6" borderId="0" xfId="0" applyFont="1" applyFill="1" applyAlignment="1">
      <alignment vertical="top" wrapText="1"/>
    </xf>
    <xf numFmtId="0" fontId="18" fillId="6" borderId="0" xfId="0" applyFont="1" applyFill="1" applyAlignment="1">
      <alignment vertical="top"/>
    </xf>
    <xf numFmtId="0" fontId="26" fillId="6" borderId="0" xfId="0" applyFont="1" applyFill="1" applyAlignment="1"/>
    <xf numFmtId="0" fontId="18" fillId="6" borderId="0" xfId="0" applyFont="1" applyFill="1"/>
    <xf numFmtId="0" fontId="11" fillId="6" borderId="33" xfId="0" applyFont="1" applyFill="1" applyBorder="1" applyAlignment="1">
      <alignment horizontal="center" vertical="center" wrapText="1"/>
    </xf>
    <xf numFmtId="0" fontId="11" fillId="6" borderId="34" xfId="0" applyFont="1" applyFill="1" applyBorder="1" applyAlignment="1">
      <alignment horizontal="center" wrapText="1"/>
    </xf>
    <xf numFmtId="22" fontId="0" fillId="6" borderId="7" xfId="0" applyNumberFormat="1" applyFont="1" applyFill="1" applyBorder="1"/>
    <xf numFmtId="0" fontId="37" fillId="6" borderId="0" xfId="0" applyFont="1" applyFill="1"/>
    <xf numFmtId="0" fontId="26" fillId="0" borderId="0" xfId="0" applyFont="1" applyProtection="1"/>
    <xf numFmtId="0" fontId="5" fillId="2" borderId="45" xfId="0" applyFont="1" applyFill="1" applyBorder="1" applyAlignment="1">
      <alignment horizontal="center" vertical="center" wrapText="1"/>
    </xf>
    <xf numFmtId="0" fontId="26" fillId="0" borderId="19" xfId="0" applyFont="1" applyBorder="1" applyAlignment="1">
      <alignment horizontal="center"/>
    </xf>
    <xf numFmtId="0" fontId="0" fillId="6" borderId="65" xfId="0" applyFill="1" applyBorder="1"/>
    <xf numFmtId="0" fontId="0" fillId="6" borderId="67" xfId="0" applyFill="1" applyBorder="1"/>
    <xf numFmtId="1" fontId="0" fillId="6" borderId="0" xfId="0" applyNumberFormat="1" applyFill="1"/>
    <xf numFmtId="3" fontId="22" fillId="10" borderId="28" xfId="0" applyNumberFormat="1" applyFont="1" applyFill="1" applyBorder="1" applyAlignment="1">
      <alignment horizontal="center" vertical="center"/>
    </xf>
    <xf numFmtId="3" fontId="22" fillId="10" borderId="29" xfId="0" applyNumberFormat="1" applyFont="1" applyFill="1" applyBorder="1" applyAlignment="1">
      <alignment horizontal="center" vertical="center"/>
    </xf>
    <xf numFmtId="3" fontId="22" fillId="10" borderId="47" xfId="0" applyNumberFormat="1" applyFont="1" applyFill="1" applyBorder="1" applyAlignment="1">
      <alignment horizontal="center" vertical="center"/>
    </xf>
    <xf numFmtId="43" fontId="0" fillId="6" borderId="0" xfId="3" applyFont="1" applyFill="1"/>
    <xf numFmtId="0" fontId="26" fillId="0" borderId="0" xfId="0" applyFont="1" applyAlignment="1">
      <alignment wrapText="1"/>
    </xf>
    <xf numFmtId="0" fontId="22" fillId="6" borderId="36" xfId="0" applyFont="1" applyFill="1" applyBorder="1" applyAlignment="1">
      <alignment wrapText="1"/>
    </xf>
    <xf numFmtId="0" fontId="22" fillId="6" borderId="37" xfId="0" applyFont="1" applyFill="1" applyBorder="1"/>
    <xf numFmtId="2" fontId="22" fillId="6" borderId="37" xfId="0" applyNumberFormat="1" applyFont="1" applyFill="1" applyBorder="1" applyAlignment="1">
      <alignment horizontal="center"/>
    </xf>
    <xf numFmtId="0" fontId="22" fillId="6" borderId="37" xfId="0" applyFont="1" applyFill="1" applyBorder="1" applyAlignment="1">
      <alignment horizontal="center"/>
    </xf>
    <xf numFmtId="0" fontId="22" fillId="6" borderId="38" xfId="0" applyFont="1" applyFill="1" applyBorder="1" applyAlignment="1">
      <alignment horizontal="center"/>
    </xf>
    <xf numFmtId="164" fontId="22" fillId="10" borderId="68" xfId="0" applyNumberFormat="1" applyFont="1" applyFill="1" applyBorder="1" applyAlignment="1">
      <alignment horizontal="center"/>
    </xf>
    <xf numFmtId="0" fontId="34" fillId="11" borderId="0" xfId="0" applyFont="1" applyFill="1"/>
    <xf numFmtId="9" fontId="0" fillId="0" borderId="4" xfId="0" applyNumberFormat="1" applyFont="1" applyBorder="1" applyAlignment="1" applyProtection="1">
      <alignment horizontal="center"/>
    </xf>
    <xf numFmtId="0" fontId="39" fillId="3" borderId="4" xfId="0" applyFont="1" applyFill="1" applyBorder="1" applyAlignment="1" applyProtection="1">
      <alignment horizontal="center"/>
    </xf>
    <xf numFmtId="0" fontId="11" fillId="2" borderId="51" xfId="0" applyFont="1" applyFill="1" applyBorder="1" applyAlignment="1" applyProtection="1">
      <alignment horizontal="center" vertical="center" wrapText="1"/>
    </xf>
    <xf numFmtId="2" fontId="0" fillId="6" borderId="0" xfId="0" applyNumberFormat="1" applyFont="1" applyFill="1" applyBorder="1" applyAlignment="1">
      <alignment horizontal="center"/>
    </xf>
    <xf numFmtId="2" fontId="0" fillId="6" borderId="19" xfId="0" applyNumberFormat="1" applyFont="1" applyFill="1" applyBorder="1" applyAlignment="1">
      <alignment horizontal="center"/>
    </xf>
    <xf numFmtId="2" fontId="0" fillId="6" borderId="17" xfId="0" applyNumberFormat="1" applyFont="1" applyFill="1" applyBorder="1" applyAlignment="1">
      <alignment horizontal="center"/>
    </xf>
    <xf numFmtId="2" fontId="0" fillId="0" borderId="0" xfId="0" applyNumberFormat="1" applyFont="1" applyFill="1" applyBorder="1" applyAlignment="1">
      <alignment horizontal="center"/>
    </xf>
    <xf numFmtId="0" fontId="0" fillId="0" borderId="19" xfId="0" applyFont="1" applyBorder="1" applyAlignment="1">
      <alignment horizontal="center"/>
    </xf>
    <xf numFmtId="3" fontId="5" fillId="10" borderId="51" xfId="0" applyNumberFormat="1" applyFont="1" applyFill="1" applyBorder="1" applyAlignment="1">
      <alignment wrapText="1"/>
    </xf>
    <xf numFmtId="3" fontId="5" fillId="10" borderId="71" xfId="0" applyNumberFormat="1" applyFont="1" applyFill="1" applyBorder="1" applyAlignment="1">
      <alignment wrapText="1"/>
    </xf>
    <xf numFmtId="3" fontId="5" fillId="10" borderId="72" xfId="0" applyNumberFormat="1" applyFont="1" applyFill="1" applyBorder="1" applyAlignment="1">
      <alignment vertical="center" wrapText="1"/>
    </xf>
    <xf numFmtId="3" fontId="5" fillId="10" borderId="73" xfId="0" applyNumberFormat="1" applyFont="1" applyFill="1" applyBorder="1" applyAlignment="1">
      <alignment vertical="center" wrapText="1"/>
    </xf>
    <xf numFmtId="3" fontId="22" fillId="10" borderId="74" xfId="0" applyNumberFormat="1" applyFont="1" applyFill="1" applyBorder="1" applyAlignment="1">
      <alignment horizontal="center" vertical="center"/>
    </xf>
    <xf numFmtId="3" fontId="22" fillId="10" borderId="64" xfId="0" applyNumberFormat="1" applyFont="1" applyFill="1" applyBorder="1" applyAlignment="1">
      <alignment horizontal="center" vertical="center"/>
    </xf>
    <xf numFmtId="3" fontId="22" fillId="10" borderId="4" xfId="0" applyNumberFormat="1" applyFont="1" applyFill="1" applyBorder="1" applyAlignment="1">
      <alignment horizontal="center" vertical="center"/>
    </xf>
    <xf numFmtId="3" fontId="22" fillId="10" borderId="43" xfId="0" applyNumberFormat="1" applyFont="1" applyFill="1" applyBorder="1" applyAlignment="1">
      <alignment horizontal="center" vertical="center"/>
    </xf>
    <xf numFmtId="0" fontId="7" fillId="6" borderId="0" xfId="0" applyFont="1" applyFill="1"/>
    <xf numFmtId="0" fontId="40" fillId="6" borderId="0" xfId="1" applyFont="1" applyFill="1" applyAlignment="1" applyProtection="1"/>
    <xf numFmtId="0" fontId="41" fillId="6" borderId="0" xfId="1" applyFont="1" applyFill="1" applyAlignment="1" applyProtection="1"/>
    <xf numFmtId="0" fontId="0" fillId="6" borderId="0" xfId="1" applyFont="1" applyFill="1" applyAlignment="1" applyProtection="1"/>
    <xf numFmtId="0" fontId="13" fillId="6" borderId="0" xfId="0" applyFont="1" applyFill="1" applyAlignment="1">
      <alignment horizontal="right"/>
    </xf>
    <xf numFmtId="0" fontId="13" fillId="6" borderId="0" xfId="0" applyFont="1" applyFill="1"/>
    <xf numFmtId="0" fontId="18" fillId="0" borderId="0" xfId="0" applyFont="1" applyFill="1"/>
    <xf numFmtId="0" fontId="5" fillId="2" borderId="45" xfId="0" applyFont="1" applyFill="1" applyBorder="1" applyAlignment="1">
      <alignment horizontal="center" vertical="center" wrapText="1"/>
    </xf>
    <xf numFmtId="0" fontId="0" fillId="6" borderId="0" xfId="0" applyFill="1" applyAlignment="1">
      <alignment vertical="top" wrapText="1"/>
    </xf>
    <xf numFmtId="0" fontId="31" fillId="0" borderId="0" xfId="0" applyFont="1" applyAlignment="1">
      <alignment horizontal="center" vertical="top" wrapText="1"/>
    </xf>
    <xf numFmtId="0" fontId="31" fillId="0" borderId="0" xfId="0" applyFont="1" applyAlignment="1">
      <alignment vertical="top"/>
    </xf>
    <xf numFmtId="0" fontId="17" fillId="6" borderId="0" xfId="1" applyFont="1" applyFill="1" applyAlignment="1" applyProtection="1"/>
    <xf numFmtId="0" fontId="17" fillId="6" borderId="0" xfId="0" applyFont="1" applyFill="1"/>
    <xf numFmtId="0" fontId="17" fillId="6" borderId="0" xfId="0" applyFont="1" applyFill="1" applyAlignment="1">
      <alignment vertical="top"/>
    </xf>
    <xf numFmtId="0" fontId="17" fillId="0" borderId="0" xfId="0" applyFont="1" applyFill="1"/>
    <xf numFmtId="0" fontId="17" fillId="0" borderId="0" xfId="0" applyFont="1"/>
    <xf numFmtId="0" fontId="0" fillId="6" borderId="0" xfId="0" applyNumberFormat="1" applyFont="1" applyFill="1"/>
    <xf numFmtId="0" fontId="26" fillId="11" borderId="0" xfId="0" applyFont="1" applyFill="1"/>
    <xf numFmtId="0" fontId="7" fillId="6" borderId="0" xfId="0" applyFont="1" applyFill="1" applyAlignment="1">
      <alignment wrapText="1"/>
    </xf>
    <xf numFmtId="0" fontId="0" fillId="0" borderId="0" xfId="0" applyFont="1" applyAlignment="1">
      <alignment wrapText="1"/>
    </xf>
    <xf numFmtId="0" fontId="14" fillId="6" borderId="11" xfId="0" applyFont="1" applyFill="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0" fillId="0" borderId="0" xfId="0" applyFont="1" applyAlignment="1"/>
    <xf numFmtId="0" fontId="0" fillId="6" borderId="0" xfId="0" applyFont="1" applyFill="1" applyAlignment="1">
      <alignment wrapText="1"/>
    </xf>
    <xf numFmtId="0" fontId="7" fillId="6" borderId="0" xfId="0" applyFont="1" applyFill="1" applyBorder="1" applyAlignment="1">
      <alignment vertical="center" wrapText="1"/>
    </xf>
    <xf numFmtId="0" fontId="43" fillId="6" borderId="0" xfId="0" applyFont="1" applyFill="1" applyAlignment="1">
      <alignment wrapText="1"/>
    </xf>
    <xf numFmtId="0" fontId="13" fillId="0" borderId="0" xfId="0" applyFont="1" applyAlignment="1">
      <alignment wrapText="1"/>
    </xf>
    <xf numFmtId="0" fontId="0" fillId="6" borderId="0" xfId="0" applyFont="1" applyFill="1" applyAlignment="1"/>
    <xf numFmtId="0" fontId="0" fillId="6" borderId="0" xfId="0" applyFill="1" applyAlignment="1">
      <alignment wrapText="1"/>
    </xf>
    <xf numFmtId="0" fontId="0" fillId="6" borderId="0" xfId="0" applyFill="1" applyAlignment="1">
      <alignment vertical="top" wrapText="1"/>
    </xf>
    <xf numFmtId="0" fontId="0" fillId="6" borderId="0" xfId="0" applyFont="1" applyFill="1" applyAlignment="1">
      <alignment horizontal="left" wrapText="1"/>
    </xf>
    <xf numFmtId="0" fontId="7" fillId="6" borderId="0" xfId="0" applyFont="1" applyFill="1" applyAlignment="1">
      <alignment horizontal="left" vertical="center" wrapText="1"/>
    </xf>
    <xf numFmtId="0" fontId="22" fillId="10" borderId="36" xfId="0" applyFont="1" applyFill="1" applyBorder="1" applyAlignment="1">
      <alignment horizontal="center"/>
    </xf>
    <xf numFmtId="0" fontId="26" fillId="0" borderId="37" xfId="0" applyFont="1" applyBorder="1" applyAlignment="1">
      <alignment horizontal="center"/>
    </xf>
    <xf numFmtId="0" fontId="3" fillId="2" borderId="0" xfId="0" applyFont="1" applyFill="1" applyAlignment="1">
      <alignment horizontal="left" wrapText="1"/>
    </xf>
    <xf numFmtId="0" fontId="21" fillId="10" borderId="36" xfId="0" applyFont="1" applyFill="1" applyBorder="1" applyAlignment="1">
      <alignment horizontal="center"/>
    </xf>
    <xf numFmtId="0" fontId="0" fillId="0" borderId="37" xfId="0" applyBorder="1" applyAlignment="1"/>
    <xf numFmtId="0" fontId="0" fillId="0" borderId="38" xfId="0" applyBorder="1" applyAlignment="1"/>
    <xf numFmtId="0" fontId="3" fillId="2" borderId="0" xfId="0" applyFont="1" applyFill="1" applyAlignment="1">
      <alignment wrapText="1"/>
    </xf>
    <xf numFmtId="0" fontId="0" fillId="0" borderId="0" xfId="0" applyAlignment="1">
      <alignment wrapText="1"/>
    </xf>
    <xf numFmtId="0" fontId="22" fillId="10" borderId="52" xfId="0" applyFont="1" applyFill="1" applyBorder="1" applyAlignment="1">
      <alignment horizontal="center" vertical="center" textRotation="255"/>
    </xf>
    <xf numFmtId="0" fontId="22" fillId="10" borderId="62" xfId="0" applyFont="1" applyFill="1" applyBorder="1" applyAlignment="1">
      <alignment horizontal="center" vertical="center" textRotation="255"/>
    </xf>
    <xf numFmtId="0" fontId="22" fillId="10" borderId="63" xfId="0" applyFont="1" applyFill="1" applyBorder="1" applyAlignment="1">
      <alignment horizontal="center" vertical="center" textRotation="255"/>
    </xf>
    <xf numFmtId="0" fontId="10" fillId="10" borderId="24" xfId="0" applyFont="1" applyFill="1" applyBorder="1" applyAlignment="1">
      <alignment horizontal="left" vertical="center" wrapText="1"/>
    </xf>
    <xf numFmtId="0" fontId="10" fillId="10" borderId="39" xfId="0" applyFont="1" applyFill="1" applyBorder="1" applyAlignment="1">
      <alignment horizontal="left" vertical="center" wrapText="1"/>
    </xf>
    <xf numFmtId="0" fontId="2" fillId="10" borderId="54" xfId="0" applyFont="1" applyFill="1" applyBorder="1" applyAlignment="1">
      <alignment horizontal="center" vertical="center"/>
    </xf>
    <xf numFmtId="0" fontId="2" fillId="10" borderId="20" xfId="0" applyFont="1" applyFill="1" applyBorder="1" applyAlignment="1">
      <alignment horizontal="center" vertical="center"/>
    </xf>
    <xf numFmtId="0" fontId="2" fillId="10" borderId="14" xfId="0" applyFont="1" applyFill="1" applyBorder="1" applyAlignment="1">
      <alignment horizontal="center" vertical="center"/>
    </xf>
    <xf numFmtId="0" fontId="5" fillId="9" borderId="48" xfId="0" applyFont="1" applyFill="1" applyBorder="1" applyAlignment="1">
      <alignment horizontal="center" vertical="center" wrapText="1"/>
    </xf>
    <xf numFmtId="0" fontId="5" fillId="9" borderId="65" xfId="0" applyFont="1" applyFill="1" applyBorder="1" applyAlignment="1">
      <alignment horizontal="center" vertical="center" wrapText="1"/>
    </xf>
    <xf numFmtId="0" fontId="5" fillId="9" borderId="59" xfId="0" applyFont="1" applyFill="1" applyBorder="1" applyAlignment="1">
      <alignment horizontal="center" vertical="center" wrapText="1"/>
    </xf>
    <xf numFmtId="0" fontId="11" fillId="2" borderId="44" xfId="0" applyFont="1" applyFill="1" applyBorder="1" applyAlignment="1">
      <alignment horizontal="center" vertical="center"/>
    </xf>
    <xf numFmtId="0" fontId="11" fillId="2" borderId="26"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0" fillId="9" borderId="28" xfId="0" applyFill="1" applyBorder="1" applyAlignment="1">
      <alignment horizontal="center" vertical="center" wrapText="1"/>
    </xf>
    <xf numFmtId="0" fontId="0" fillId="9" borderId="29" xfId="0"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35" fillId="10" borderId="36" xfId="0" applyFont="1" applyFill="1" applyBorder="1" applyAlignment="1">
      <alignment horizontal="right" vertical="center"/>
    </xf>
    <xf numFmtId="0" fontId="0" fillId="0" borderId="53" xfId="0" applyBorder="1" applyAlignment="1"/>
    <xf numFmtId="165" fontId="5" fillId="10" borderId="50" xfId="0" applyNumberFormat="1" applyFont="1" applyFill="1" applyBorder="1" applyAlignment="1">
      <alignment horizontal="center"/>
    </xf>
    <xf numFmtId="165" fontId="5" fillId="10" borderId="47" xfId="0" applyNumberFormat="1" applyFont="1" applyFill="1" applyBorder="1" applyAlignment="1">
      <alignment horizontal="center"/>
    </xf>
    <xf numFmtId="0" fontId="5" fillId="10" borderId="22" xfId="0" applyFont="1" applyFill="1" applyBorder="1" applyAlignment="1">
      <alignment horizontal="center" vertical="center" wrapText="1"/>
    </xf>
    <xf numFmtId="0" fontId="5" fillId="10" borderId="6" xfId="0" applyFont="1" applyFill="1" applyBorder="1" applyAlignment="1">
      <alignment horizontal="center" vertical="center" wrapText="1"/>
    </xf>
    <xf numFmtId="165" fontId="5" fillId="10" borderId="48" xfId="0" applyNumberFormat="1" applyFont="1" applyFill="1" applyBorder="1" applyAlignment="1">
      <alignment horizontal="center" vertical="center"/>
    </xf>
    <xf numFmtId="165" fontId="5" fillId="10" borderId="46" xfId="0" applyNumberFormat="1" applyFont="1" applyFill="1" applyBorder="1" applyAlignment="1">
      <alignment horizontal="center" vertical="center"/>
    </xf>
    <xf numFmtId="0" fontId="0" fillId="6" borderId="50" xfId="0" applyFill="1" applyBorder="1" applyAlignment="1" applyProtection="1">
      <alignment horizontal="left" wrapText="1"/>
    </xf>
    <xf numFmtId="0" fontId="0" fillId="6" borderId="66" xfId="0" applyFill="1" applyBorder="1" applyAlignment="1" applyProtection="1">
      <alignment horizontal="left" wrapText="1"/>
    </xf>
    <xf numFmtId="1" fontId="26" fillId="0" borderId="17" xfId="0" applyNumberFormat="1" applyFont="1" applyFill="1" applyBorder="1" applyAlignment="1">
      <alignment wrapText="1"/>
    </xf>
    <xf numFmtId="0" fontId="26" fillId="0" borderId="0" xfId="0" applyFont="1" applyBorder="1" applyAlignment="1">
      <alignment wrapText="1"/>
    </xf>
    <xf numFmtId="0" fontId="26" fillId="0" borderId="19" xfId="0" applyFont="1" applyBorder="1" applyAlignment="1">
      <alignment wrapText="1"/>
    </xf>
    <xf numFmtId="0" fontId="26" fillId="0" borderId="17" xfId="0" applyFont="1" applyFill="1" applyBorder="1" applyAlignment="1">
      <alignment horizontal="left" vertical="center" wrapText="1"/>
    </xf>
    <xf numFmtId="0" fontId="26" fillId="0" borderId="0" xfId="0" applyFont="1" applyAlignment="1">
      <alignment horizontal="left" vertical="center" wrapText="1"/>
    </xf>
    <xf numFmtId="0" fontId="26" fillId="0" borderId="19" xfId="0" applyFont="1" applyBorder="1" applyAlignment="1">
      <alignment horizontal="left" vertical="center" wrapText="1"/>
    </xf>
    <xf numFmtId="1" fontId="26" fillId="0" borderId="17" xfId="0" applyNumberFormat="1" applyFont="1" applyFill="1" applyBorder="1" applyAlignment="1">
      <alignment horizontal="left" vertical="center" wrapText="1"/>
    </xf>
    <xf numFmtId="0" fontId="26" fillId="0" borderId="0" xfId="0" applyFont="1" applyBorder="1" applyAlignment="1">
      <alignment horizontal="left" vertical="center" wrapText="1"/>
    </xf>
    <xf numFmtId="0" fontId="26" fillId="0" borderId="0" xfId="0" applyFont="1" applyFill="1" applyBorder="1" applyAlignment="1">
      <alignment horizontal="left" vertical="center" wrapText="1"/>
    </xf>
    <xf numFmtId="0" fontId="26" fillId="0" borderId="19" xfId="0" applyFont="1" applyFill="1" applyBorder="1" applyAlignment="1">
      <alignment horizontal="left" vertical="center" wrapText="1"/>
    </xf>
    <xf numFmtId="1" fontId="26" fillId="0" borderId="0" xfId="0" applyNumberFormat="1" applyFont="1" applyFill="1" applyBorder="1" applyAlignment="1">
      <alignment horizontal="left" vertical="center" wrapText="1"/>
    </xf>
    <xf numFmtId="1" fontId="26" fillId="0" borderId="19" xfId="0" applyNumberFormat="1" applyFont="1" applyFill="1" applyBorder="1" applyAlignment="1">
      <alignment horizontal="left" vertical="center" wrapText="1"/>
    </xf>
    <xf numFmtId="0" fontId="26" fillId="6" borderId="0" xfId="0" quotePrefix="1" applyFont="1" applyFill="1" applyAlignment="1">
      <alignment wrapText="1"/>
    </xf>
    <xf numFmtId="0" fontId="26" fillId="6" borderId="0" xfId="0" applyFont="1" applyFill="1" applyAlignment="1">
      <alignment wrapText="1"/>
    </xf>
    <xf numFmtId="0" fontId="26" fillId="0" borderId="0" xfId="0" applyFont="1" applyAlignment="1"/>
    <xf numFmtId="0" fontId="1" fillId="3" borderId="69" xfId="0" applyFont="1" applyFill="1" applyBorder="1" applyAlignment="1">
      <alignment horizontal="center" vertical="center" wrapText="1"/>
    </xf>
    <xf numFmtId="0" fontId="1" fillId="3" borderId="70" xfId="0" applyFont="1" applyFill="1" applyBorder="1" applyAlignment="1">
      <alignment horizontal="center" vertical="center" wrapText="1"/>
    </xf>
    <xf numFmtId="0" fontId="1" fillId="3" borderId="4" xfId="0" applyFont="1" applyFill="1" applyBorder="1" applyAlignment="1">
      <alignment horizontal="center"/>
    </xf>
    <xf numFmtId="0" fontId="29" fillId="6" borderId="0" xfId="0" quotePrefix="1" applyFont="1" applyFill="1" applyBorder="1" applyAlignment="1">
      <alignment horizontal="left" vertical="center" wrapText="1"/>
    </xf>
    <xf numFmtId="0" fontId="26" fillId="6" borderId="0" xfId="0" applyNumberFormat="1" applyFont="1" applyFill="1" applyBorder="1" applyAlignment="1">
      <alignment horizontal="left" vertical="center" wrapText="1"/>
    </xf>
    <xf numFmtId="0" fontId="26" fillId="0" borderId="0" xfId="0" applyNumberFormat="1" applyFont="1" applyAlignment="1">
      <alignment horizontal="left" vertical="center" wrapText="1"/>
    </xf>
    <xf numFmtId="0" fontId="29" fillId="6" borderId="0" xfId="0" applyFont="1" applyFill="1" applyAlignment="1">
      <alignment horizontal="left" wrapText="1"/>
    </xf>
    <xf numFmtId="0" fontId="26" fillId="6" borderId="0" xfId="0" applyFont="1" applyFill="1" applyAlignment="1">
      <alignment horizontal="left" vertical="center" wrapText="1"/>
    </xf>
    <xf numFmtId="0" fontId="26" fillId="0" borderId="0" xfId="0" applyFont="1" applyAlignment="1">
      <alignment horizontal="center" vertical="center"/>
    </xf>
    <xf numFmtId="0" fontId="26" fillId="0" borderId="0" xfId="0" applyFont="1" applyAlignment="1">
      <alignment wrapText="1"/>
    </xf>
    <xf numFmtId="0" fontId="26" fillId="0" borderId="0" xfId="0" applyFont="1" applyAlignment="1">
      <alignment horizontal="left" vertical="top" wrapText="1"/>
    </xf>
    <xf numFmtId="0" fontId="26" fillId="0" borderId="0" xfId="0" applyNumberFormat="1" applyFont="1" applyAlignment="1">
      <alignment horizontal="left" vertical="top" wrapText="1"/>
    </xf>
    <xf numFmtId="0" fontId="31" fillId="0" borderId="0" xfId="0" applyFont="1" applyAlignment="1">
      <alignment horizontal="center" vertical="top"/>
    </xf>
    <xf numFmtId="0" fontId="31" fillId="0" borderId="0" xfId="0" applyFont="1" applyAlignment="1">
      <alignment horizontal="center" vertical="top" wrapText="1"/>
    </xf>
    <xf numFmtId="0" fontId="0" fillId="5" borderId="5"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30" xfId="0" applyFill="1" applyBorder="1" applyAlignment="1" applyProtection="1">
      <alignment horizontal="center"/>
      <protection locked="0"/>
    </xf>
    <xf numFmtId="164" fontId="11" fillId="5" borderId="5" xfId="2" applyNumberFormat="1" applyFont="1" applyFill="1" applyBorder="1" applyAlignment="1" applyProtection="1">
      <alignment horizontal="center"/>
      <protection locked="0"/>
    </xf>
    <xf numFmtId="164" fontId="11" fillId="5" borderId="4" xfId="2" applyNumberFormat="1" applyFont="1" applyFill="1" applyBorder="1" applyAlignment="1" applyProtection="1">
      <alignment horizontal="center"/>
      <protection locked="0"/>
    </xf>
    <xf numFmtId="164" fontId="5" fillId="5" borderId="4" xfId="0" applyNumberFormat="1" applyFont="1" applyFill="1" applyBorder="1" applyAlignment="1" applyProtection="1">
      <alignment horizontal="center"/>
      <protection locked="0"/>
    </xf>
  </cellXfs>
  <cellStyles count="4">
    <cellStyle name="Comma" xfId="3" builtinId="3"/>
    <cellStyle name="Hyperlink" xfId="1" builtinId="8"/>
    <cellStyle name="Normal" xfId="0" builtinId="0"/>
    <cellStyle name="Percent" xfId="2" builtinId="5"/>
  </cellStyles>
  <dxfs count="0"/>
  <tableStyles count="0" defaultTableStyle="TableStyleMedium9" defaultPivotStyle="PivotStyleLight16"/>
  <colors>
    <mruColors>
      <color rgb="FFFFFFCC"/>
      <color rgb="FF0000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409575</xdr:colOff>
      <xdr:row>7</xdr:row>
      <xdr:rowOff>152400</xdr:rowOff>
    </xdr:from>
    <xdr:to>
      <xdr:col>8</xdr:col>
      <xdr:colOff>9525</xdr:colOff>
      <xdr:row>10</xdr:row>
      <xdr:rowOff>123825</xdr:rowOff>
    </xdr:to>
    <xdr:grpSp>
      <xdr:nvGrpSpPr>
        <xdr:cNvPr id="5" name="Group 4"/>
        <xdr:cNvGrpSpPr/>
      </xdr:nvGrpSpPr>
      <xdr:grpSpPr>
        <a:xfrm>
          <a:off x="7391400" y="1952625"/>
          <a:ext cx="1695450" cy="542925"/>
          <a:chOff x="7239000" y="1952625"/>
          <a:chExt cx="1447800" cy="542925"/>
        </a:xfrm>
      </xdr:grpSpPr>
      <xdr:sp macro="" textlink="">
        <xdr:nvSpPr>
          <xdr:cNvPr id="3" name="TextBox 2"/>
          <xdr:cNvSpPr txBox="1"/>
        </xdr:nvSpPr>
        <xdr:spPr>
          <a:xfrm>
            <a:off x="7239000" y="1952625"/>
            <a:ext cx="1447800" cy="542925"/>
          </a:xfrm>
          <a:prstGeom prst="rect">
            <a:avLst/>
          </a:prstGeom>
          <a:solidFill>
            <a:schemeClr val="bg1">
              <a:lumMod val="95000"/>
            </a:schemeClr>
          </a:solidFill>
          <a:ln w="1587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Only enter values in  </a:t>
            </a:r>
            <a:r>
              <a:rPr lang="en-US" sz="1100">
                <a:solidFill>
                  <a:schemeClr val="tx1">
                    <a:lumMod val="95000"/>
                    <a:lumOff val="5000"/>
                  </a:schemeClr>
                </a:solidFill>
              </a:rPr>
              <a:t>yellow</a:t>
            </a:r>
            <a:r>
              <a:rPr lang="en-US" sz="1100" baseline="0"/>
              <a:t> cells:</a:t>
            </a:r>
          </a:p>
          <a:p>
            <a:endParaRPr lang="en-US" sz="1100"/>
          </a:p>
        </xdr:txBody>
      </xdr:sp>
      <xdr:sp macro="" textlink="">
        <xdr:nvSpPr>
          <xdr:cNvPr id="4" name="Rectangle 3"/>
          <xdr:cNvSpPr/>
        </xdr:nvSpPr>
        <xdr:spPr>
          <a:xfrm>
            <a:off x="8124825" y="2209800"/>
            <a:ext cx="428625" cy="209550"/>
          </a:xfrm>
          <a:prstGeom prst="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409575</xdr:colOff>
      <xdr:row>0</xdr:row>
      <xdr:rowOff>9525</xdr:rowOff>
    </xdr:from>
    <xdr:to>
      <xdr:col>12</xdr:col>
      <xdr:colOff>419100</xdr:colOff>
      <xdr:row>1</xdr:row>
      <xdr:rowOff>180975</xdr:rowOff>
    </xdr:to>
    <xdr:pic>
      <xdr:nvPicPr>
        <xdr:cNvPr id="6"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10153650" y="9525"/>
          <a:ext cx="2495550" cy="3619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180975</xdr:colOff>
      <xdr:row>9</xdr:row>
      <xdr:rowOff>57150</xdr:rowOff>
    </xdr:from>
    <xdr:to>
      <xdr:col>7</xdr:col>
      <xdr:colOff>771525</xdr:colOff>
      <xdr:row>12</xdr:row>
      <xdr:rowOff>9525</xdr:rowOff>
    </xdr:to>
    <xdr:grpSp>
      <xdr:nvGrpSpPr>
        <xdr:cNvPr id="4" name="Group 3"/>
        <xdr:cNvGrpSpPr/>
      </xdr:nvGrpSpPr>
      <xdr:grpSpPr>
        <a:xfrm>
          <a:off x="6677025" y="2362200"/>
          <a:ext cx="1447800" cy="533400"/>
          <a:chOff x="7448550" y="1600200"/>
          <a:chExt cx="1447800" cy="533400"/>
        </a:xfrm>
      </xdr:grpSpPr>
      <xdr:sp macro="" textlink="">
        <xdr:nvSpPr>
          <xdr:cNvPr id="2" name="TextBox 1"/>
          <xdr:cNvSpPr txBox="1"/>
        </xdr:nvSpPr>
        <xdr:spPr>
          <a:xfrm>
            <a:off x="7448550" y="1600200"/>
            <a:ext cx="1447800" cy="533400"/>
          </a:xfrm>
          <a:prstGeom prst="rect">
            <a:avLst/>
          </a:prstGeom>
          <a:solidFill>
            <a:schemeClr val="bg1">
              <a:lumMod val="95000"/>
            </a:schemeClr>
          </a:solidFill>
          <a:ln w="1587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Only enter values in  </a:t>
            </a:r>
            <a:r>
              <a:rPr lang="en-US" sz="1100">
                <a:solidFill>
                  <a:schemeClr val="tx1">
                    <a:lumMod val="95000"/>
                    <a:lumOff val="5000"/>
                  </a:schemeClr>
                </a:solidFill>
              </a:rPr>
              <a:t>yellow</a:t>
            </a:r>
            <a:r>
              <a:rPr lang="en-US" sz="1100" baseline="0"/>
              <a:t> cells:</a:t>
            </a:r>
          </a:p>
          <a:p>
            <a:endParaRPr lang="en-US" sz="1100"/>
          </a:p>
        </xdr:txBody>
      </xdr:sp>
      <xdr:sp macro="" textlink="">
        <xdr:nvSpPr>
          <xdr:cNvPr id="3" name="Rectangle 2"/>
          <xdr:cNvSpPr/>
        </xdr:nvSpPr>
        <xdr:spPr>
          <a:xfrm>
            <a:off x="8324850" y="1847850"/>
            <a:ext cx="428625" cy="209550"/>
          </a:xfrm>
          <a:prstGeom prst="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209550</xdr:colOff>
      <xdr:row>0</xdr:row>
      <xdr:rowOff>0</xdr:rowOff>
    </xdr:from>
    <xdr:to>
      <xdr:col>12</xdr:col>
      <xdr:colOff>590550</xdr:colOff>
      <xdr:row>1</xdr:row>
      <xdr:rowOff>171450</xdr:rowOff>
    </xdr:to>
    <xdr:pic>
      <xdr:nvPicPr>
        <xdr:cNvPr id="5"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8982075" y="0"/>
          <a:ext cx="2676525" cy="3619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1</xdr:rowOff>
    </xdr:from>
    <xdr:to>
      <xdr:col>10</xdr:col>
      <xdr:colOff>476250</xdr:colOff>
      <xdr:row>10</xdr:row>
      <xdr:rowOff>66676</xdr:rowOff>
    </xdr:to>
    <xdr:sp macro="" textlink="">
      <xdr:nvSpPr>
        <xdr:cNvPr id="2" name="TextBox 1"/>
        <xdr:cNvSpPr txBox="1"/>
      </xdr:nvSpPr>
      <xdr:spPr>
        <a:xfrm>
          <a:off x="7058025" y="1019176"/>
          <a:ext cx="4533900" cy="838200"/>
        </a:xfrm>
        <a:prstGeom prst="rect">
          <a:avLst/>
        </a:prstGeom>
        <a:solidFill>
          <a:schemeClr val="lt1"/>
        </a:solidFill>
        <a:ln w="1587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Professional judgment should be used when selecting BMPs for the area selected. For instance, rain gardens and constructed</a:t>
          </a:r>
          <a:r>
            <a:rPr lang="en-US" sz="1100" baseline="0"/>
            <a:t> wetlands </a:t>
          </a:r>
          <a:r>
            <a:rPr lang="en-US" sz="1100"/>
            <a:t>are more appropriate for residential neighborhoods, retention and detention ponds are more appropriate for commercial or transportation areas.</a:t>
          </a:r>
        </a:p>
      </xdr:txBody>
    </xdr:sp>
    <xdr:clientData/>
  </xdr:twoCellAnchor>
  <xdr:twoCellAnchor>
    <xdr:from>
      <xdr:col>6</xdr:col>
      <xdr:colOff>247650</xdr:colOff>
      <xdr:row>0</xdr:row>
      <xdr:rowOff>171450</xdr:rowOff>
    </xdr:from>
    <xdr:to>
      <xdr:col>8</xdr:col>
      <xdr:colOff>999122</xdr:colOff>
      <xdr:row>2</xdr:row>
      <xdr:rowOff>104775</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305675" y="171450"/>
          <a:ext cx="2856497" cy="3524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44</xdr:row>
      <xdr:rowOff>57150</xdr:rowOff>
    </xdr:from>
    <xdr:to>
      <xdr:col>2</xdr:col>
      <xdr:colOff>1752600</xdr:colOff>
      <xdr:row>46</xdr:row>
      <xdr:rowOff>38100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80975" y="9858375"/>
          <a:ext cx="2495550" cy="3619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158750</xdr:rowOff>
    </xdr:from>
    <xdr:to>
      <xdr:col>13</xdr:col>
      <xdr:colOff>177800</xdr:colOff>
      <xdr:row>52</xdr:row>
      <xdr:rowOff>118534</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2689417" y="13197417"/>
          <a:ext cx="2495550" cy="3619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w%20Dell%20GIS/Documents/K&amp;A_Projects_Laurence/KAZOO_WMP/BMP_table/BMP%20Table_v2_0625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AD ME"/>
      <sheetName val="BMP Tool"/>
      <sheetName val="LOOK-UP TABLES"/>
      <sheetName val="EMCS"/>
    </sheetNames>
    <sheetDataSet>
      <sheetData sheetId="0" refreshError="1"/>
      <sheetData sheetId="1"/>
      <sheetData sheetId="2">
        <row r="9">
          <cell r="B9" t="str">
            <v>Grass Swale</v>
          </cell>
        </row>
        <row r="10">
          <cell r="B10" t="str">
            <v>Extended Detention Basin</v>
          </cell>
        </row>
        <row r="11">
          <cell r="B11" t="str">
            <v>Wet Retention Pond</v>
          </cell>
        </row>
        <row r="12">
          <cell r="B12" t="str">
            <v>Rain Garden</v>
          </cell>
        </row>
        <row r="13">
          <cell r="B13" t="str">
            <v>Constructed Wetlands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tate.mi.us/orr/emi/arcrules.asp?type=Numeric&amp;id=1999&amp;subId=1999-036+EQ&amp;subCat=Admincode" TargetMode="External"/><Relationship Id="rId2" Type="http://schemas.openxmlformats.org/officeDocument/2006/relationships/hyperlink" Target="http://www.werf.org/AM/Template.cfm?Section=Research_Profile&amp;Template=/CustomSource/Research/PublicationProfile.cfm&amp;id=SW2R08" TargetMode="External"/><Relationship Id="rId1" Type="http://schemas.openxmlformats.org/officeDocument/2006/relationships/hyperlink" Target="http://www.werf.org/AM/Template.cfm?Section=Research_Profile&amp;Template=/CustomSource/Research/PublicationProfile.cfm&amp;id=SW2R08"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T50"/>
  <sheetViews>
    <sheetView zoomScaleNormal="100" workbookViewId="0">
      <selection activeCell="A4" sqref="A4:N4"/>
    </sheetView>
  </sheetViews>
  <sheetFormatPr defaultRowHeight="15"/>
  <cols>
    <col min="1" max="16" width="9.140625" style="11"/>
    <col min="17" max="17" width="9.140625" style="6"/>
    <col min="18" max="18" width="16.28515625" style="6" customWidth="1"/>
    <col min="19" max="20" width="9.140625" style="6"/>
  </cols>
  <sheetData>
    <row r="1" spans="1:18" ht="18.75" thickBot="1">
      <c r="A1" s="240" t="s">
        <v>0</v>
      </c>
    </row>
    <row r="2" spans="1:18" ht="27.75" customHeight="1" thickBot="1">
      <c r="A2" s="295" t="s">
        <v>170</v>
      </c>
      <c r="B2" s="296"/>
      <c r="C2" s="296"/>
      <c r="D2" s="296"/>
      <c r="E2" s="296"/>
      <c r="F2" s="296"/>
      <c r="G2" s="296"/>
      <c r="H2" s="296"/>
      <c r="I2" s="296"/>
      <c r="J2" s="296"/>
      <c r="K2" s="296"/>
      <c r="L2" s="296"/>
      <c r="M2" s="296"/>
      <c r="N2" s="297"/>
    </row>
    <row r="3" spans="1:18" ht="46.5" customHeight="1">
      <c r="A3" s="293" t="s">
        <v>171</v>
      </c>
      <c r="B3" s="298"/>
      <c r="C3" s="298"/>
      <c r="D3" s="298"/>
      <c r="E3" s="298"/>
      <c r="F3" s="298"/>
      <c r="G3" s="298"/>
      <c r="H3" s="298"/>
      <c r="I3" s="298"/>
      <c r="J3" s="298"/>
      <c r="K3" s="298"/>
      <c r="L3" s="298"/>
      <c r="M3" s="298"/>
      <c r="N3" s="298"/>
      <c r="O3" s="232"/>
      <c r="P3" s="232"/>
    </row>
    <row r="4" spans="1:18" ht="55.5" customHeight="1">
      <c r="A4" s="299" t="s">
        <v>214</v>
      </c>
      <c r="B4" s="298"/>
      <c r="C4" s="298"/>
      <c r="D4" s="298"/>
      <c r="E4" s="298"/>
      <c r="F4" s="298"/>
      <c r="G4" s="298"/>
      <c r="H4" s="298"/>
      <c r="I4" s="298"/>
      <c r="J4" s="298"/>
      <c r="K4" s="298"/>
      <c r="L4" s="298"/>
      <c r="M4" s="298"/>
      <c r="N4" s="298"/>
      <c r="O4" s="232"/>
      <c r="P4" s="232"/>
    </row>
    <row r="5" spans="1:18" ht="60.75" customHeight="1">
      <c r="A5" s="304" t="s">
        <v>215</v>
      </c>
      <c r="B5" s="298"/>
      <c r="C5" s="298"/>
      <c r="D5" s="298"/>
      <c r="E5" s="298"/>
      <c r="F5" s="298"/>
      <c r="G5" s="298"/>
      <c r="H5" s="298"/>
      <c r="I5" s="298"/>
      <c r="J5" s="298"/>
      <c r="K5" s="298"/>
      <c r="L5" s="298"/>
      <c r="M5" s="298"/>
      <c r="N5" s="298"/>
      <c r="O5" s="298"/>
      <c r="P5" s="298"/>
      <c r="R5" s="281"/>
    </row>
    <row r="6" spans="1:18">
      <c r="A6" s="11" t="s">
        <v>201</v>
      </c>
      <c r="B6" s="232"/>
      <c r="C6" s="232"/>
      <c r="D6" s="232"/>
      <c r="E6" s="232"/>
      <c r="F6" s="232"/>
      <c r="G6" s="232"/>
      <c r="H6" s="232"/>
      <c r="I6" s="232"/>
      <c r="J6" s="232"/>
      <c r="K6" s="232"/>
      <c r="L6" s="232"/>
      <c r="M6" s="232"/>
      <c r="N6" s="232"/>
      <c r="O6" s="232"/>
      <c r="P6" s="232"/>
    </row>
    <row r="7" spans="1:18">
      <c r="A7" s="275" t="s">
        <v>66</v>
      </c>
      <c r="B7" s="275"/>
      <c r="C7" s="275"/>
      <c r="D7" s="275"/>
      <c r="E7" s="232"/>
      <c r="F7" s="232"/>
      <c r="G7" s="232"/>
      <c r="H7" s="232"/>
      <c r="I7" s="232"/>
      <c r="J7" s="232"/>
      <c r="K7" s="232"/>
      <c r="L7" s="232"/>
      <c r="M7" s="232"/>
      <c r="N7" s="232"/>
      <c r="O7" s="232"/>
      <c r="P7" s="232"/>
    </row>
    <row r="8" spans="1:18">
      <c r="A8" s="275"/>
      <c r="B8" s="291" t="s">
        <v>216</v>
      </c>
      <c r="C8" s="275"/>
      <c r="D8" s="275"/>
      <c r="E8" s="232"/>
      <c r="F8" s="232"/>
      <c r="G8" s="232"/>
      <c r="H8" s="232"/>
      <c r="I8" s="232"/>
      <c r="J8" s="232"/>
      <c r="K8" s="232"/>
      <c r="L8" s="232"/>
      <c r="M8" s="232"/>
      <c r="N8" s="232"/>
      <c r="O8" s="232"/>
      <c r="P8" s="232"/>
    </row>
    <row r="9" spans="1:18">
      <c r="A9" s="275"/>
      <c r="B9" s="232" t="s">
        <v>217</v>
      </c>
      <c r="C9" s="275"/>
      <c r="D9" s="275"/>
      <c r="E9" s="232"/>
      <c r="F9" s="232"/>
      <c r="G9" s="232"/>
      <c r="H9" s="232"/>
      <c r="I9" s="232"/>
      <c r="J9" s="232"/>
      <c r="K9" s="232"/>
      <c r="L9" s="232"/>
      <c r="M9" s="232"/>
      <c r="N9" s="232"/>
      <c r="O9" s="232"/>
      <c r="P9" s="232"/>
    </row>
    <row r="10" spans="1:18">
      <c r="A10" s="275"/>
      <c r="B10" s="275" t="s">
        <v>198</v>
      </c>
      <c r="C10" s="275"/>
      <c r="D10" s="275"/>
      <c r="E10" s="232"/>
      <c r="F10" s="232"/>
      <c r="G10" s="232"/>
      <c r="H10" s="232"/>
      <c r="I10" s="232"/>
      <c r="J10" s="232"/>
      <c r="K10" s="232"/>
      <c r="L10" s="232"/>
      <c r="M10" s="232"/>
      <c r="N10" s="232"/>
      <c r="O10" s="232"/>
      <c r="P10" s="232"/>
    </row>
    <row r="11" spans="1:18">
      <c r="A11" s="275" t="s">
        <v>62</v>
      </c>
      <c r="B11" s="275"/>
      <c r="C11" s="275"/>
      <c r="D11" s="275"/>
      <c r="E11" s="232"/>
      <c r="F11" s="232"/>
      <c r="G11" s="232"/>
      <c r="H11" s="232"/>
      <c r="I11" s="232"/>
      <c r="J11" s="232"/>
      <c r="K11" s="232"/>
      <c r="L11" s="232"/>
      <c r="M11" s="232"/>
      <c r="N11" s="232"/>
      <c r="O11" s="232"/>
      <c r="P11" s="232"/>
    </row>
    <row r="12" spans="1:18">
      <c r="A12" s="275"/>
      <c r="B12" s="275"/>
      <c r="C12" s="275"/>
      <c r="D12" s="275"/>
      <c r="E12" s="232"/>
      <c r="F12" s="232"/>
      <c r="G12" s="232"/>
      <c r="H12" s="232"/>
      <c r="I12" s="232"/>
      <c r="J12" s="232"/>
      <c r="K12" s="232"/>
      <c r="L12" s="232"/>
      <c r="M12" s="232"/>
      <c r="N12" s="232"/>
      <c r="O12" s="232"/>
      <c r="P12" s="232"/>
    </row>
    <row r="13" spans="1:18">
      <c r="A13" s="232" t="s">
        <v>169</v>
      </c>
      <c r="B13" s="275"/>
      <c r="C13" s="275"/>
      <c r="D13" s="275"/>
      <c r="E13" s="232"/>
      <c r="F13" s="232"/>
      <c r="G13" s="232"/>
      <c r="H13" s="232"/>
      <c r="I13" s="232"/>
      <c r="J13" s="232"/>
      <c r="K13" s="232"/>
      <c r="L13" s="232"/>
      <c r="M13" s="232"/>
      <c r="N13" s="232"/>
      <c r="O13" s="232"/>
      <c r="P13" s="232"/>
    </row>
    <row r="14" spans="1:18" ht="15.75">
      <c r="A14" s="232"/>
      <c r="B14" s="279" t="s">
        <v>28</v>
      </c>
      <c r="C14" s="280" t="s">
        <v>64</v>
      </c>
      <c r="D14" s="232"/>
      <c r="E14" s="232"/>
      <c r="F14" s="232"/>
      <c r="G14" s="232"/>
      <c r="H14" s="232"/>
      <c r="I14" s="232"/>
      <c r="J14" s="232"/>
      <c r="K14" s="232"/>
      <c r="L14" s="232"/>
      <c r="M14" s="232"/>
      <c r="N14" s="232"/>
      <c r="O14" s="232"/>
      <c r="P14" s="232"/>
    </row>
    <row r="15" spans="1:18" ht="33" customHeight="1">
      <c r="A15" s="232"/>
      <c r="B15" s="232"/>
      <c r="C15" s="300" t="s">
        <v>199</v>
      </c>
      <c r="D15" s="294"/>
      <c r="E15" s="294"/>
      <c r="F15" s="294"/>
      <c r="G15" s="294"/>
      <c r="H15" s="294"/>
      <c r="I15" s="294"/>
      <c r="J15" s="294"/>
      <c r="K15" s="294"/>
      <c r="L15" s="294"/>
      <c r="M15" s="294"/>
      <c r="N15" s="294"/>
      <c r="O15" s="232"/>
      <c r="P15" s="232"/>
    </row>
    <row r="16" spans="1:18" ht="15.75">
      <c r="A16" s="232"/>
      <c r="B16" s="279" t="s">
        <v>32</v>
      </c>
      <c r="C16" s="301" t="s">
        <v>63</v>
      </c>
      <c r="D16" s="302"/>
      <c r="E16" s="302"/>
      <c r="F16" s="302"/>
      <c r="G16" s="302"/>
      <c r="H16" s="302"/>
      <c r="I16" s="302"/>
      <c r="J16" s="302"/>
      <c r="K16" s="302"/>
      <c r="L16" s="302"/>
      <c r="M16" s="302"/>
      <c r="N16" s="302"/>
      <c r="O16" s="232"/>
      <c r="P16" s="232"/>
    </row>
    <row r="17" spans="1:20" ht="36" customHeight="1">
      <c r="A17" s="232"/>
      <c r="B17" s="279"/>
      <c r="C17" s="300" t="s">
        <v>200</v>
      </c>
      <c r="D17" s="294"/>
      <c r="E17" s="294"/>
      <c r="F17" s="294"/>
      <c r="G17" s="294"/>
      <c r="H17" s="294"/>
      <c r="I17" s="294"/>
      <c r="J17" s="294"/>
      <c r="K17" s="294"/>
      <c r="L17" s="294"/>
      <c r="M17" s="294"/>
      <c r="N17" s="294"/>
      <c r="O17" s="232"/>
      <c r="P17" s="232"/>
    </row>
    <row r="18" spans="1:20" ht="15.75">
      <c r="A18" s="232"/>
      <c r="B18" s="279" t="s">
        <v>33</v>
      </c>
      <c r="C18" s="301" t="s">
        <v>67</v>
      </c>
      <c r="D18" s="302"/>
      <c r="E18" s="302"/>
      <c r="F18" s="302"/>
      <c r="G18" s="302"/>
      <c r="H18" s="302"/>
      <c r="I18" s="302"/>
      <c r="J18" s="302"/>
      <c r="K18" s="302"/>
      <c r="L18" s="302"/>
      <c r="M18" s="302"/>
      <c r="N18" s="302"/>
      <c r="O18" s="232"/>
      <c r="P18" s="232"/>
    </row>
    <row r="19" spans="1:20" ht="57.75" customHeight="1">
      <c r="A19" s="232"/>
      <c r="B19" s="279"/>
      <c r="C19" s="299" t="s">
        <v>218</v>
      </c>
      <c r="D19" s="294"/>
      <c r="E19" s="294"/>
      <c r="F19" s="294"/>
      <c r="G19" s="294"/>
      <c r="H19" s="294"/>
      <c r="I19" s="294"/>
      <c r="J19" s="294"/>
      <c r="K19" s="294"/>
      <c r="L19" s="294"/>
      <c r="M19" s="294"/>
      <c r="N19" s="294"/>
      <c r="O19" s="232"/>
      <c r="P19" s="232"/>
    </row>
    <row r="20" spans="1:20" ht="15.75">
      <c r="A20" s="232"/>
      <c r="B20" s="279" t="s">
        <v>36</v>
      </c>
      <c r="C20" s="280" t="s">
        <v>153</v>
      </c>
      <c r="D20" s="232"/>
      <c r="E20" s="232"/>
      <c r="F20" s="232"/>
      <c r="G20" s="232"/>
      <c r="H20" s="232"/>
      <c r="I20" s="232"/>
      <c r="J20" s="232"/>
      <c r="K20" s="232"/>
      <c r="L20" s="232"/>
      <c r="M20" s="232"/>
      <c r="N20" s="232"/>
      <c r="O20" s="232"/>
      <c r="P20" s="232"/>
    </row>
    <row r="21" spans="1:20">
      <c r="A21" s="232"/>
      <c r="B21" s="232"/>
      <c r="C21" s="232" t="s">
        <v>154</v>
      </c>
      <c r="D21" s="232"/>
      <c r="E21" s="232"/>
      <c r="F21" s="232"/>
      <c r="G21" s="232"/>
      <c r="H21" s="232"/>
      <c r="I21" s="232"/>
      <c r="J21" s="232"/>
      <c r="K21" s="232"/>
      <c r="L21" s="232"/>
      <c r="M21" s="232"/>
      <c r="N21" s="232"/>
      <c r="O21" s="232"/>
      <c r="P21" s="232"/>
    </row>
    <row r="22" spans="1:20">
      <c r="A22" s="232"/>
      <c r="B22" s="232"/>
      <c r="C22" s="232"/>
      <c r="D22" s="232"/>
      <c r="E22" s="232"/>
      <c r="F22" s="232"/>
      <c r="G22" s="232"/>
      <c r="H22" s="232"/>
      <c r="I22" s="232"/>
      <c r="J22" s="232"/>
      <c r="K22" s="232"/>
      <c r="L22" s="232"/>
      <c r="M22" s="232"/>
      <c r="N22" s="232"/>
      <c r="O22" s="232"/>
      <c r="P22" s="232"/>
    </row>
    <row r="23" spans="1:20">
      <c r="A23" s="306" t="s">
        <v>196</v>
      </c>
      <c r="B23" s="306"/>
      <c r="C23" s="306"/>
      <c r="D23" s="306"/>
      <c r="E23" s="306"/>
      <c r="F23" s="306"/>
      <c r="G23" s="306"/>
      <c r="H23" s="306"/>
      <c r="I23" s="306"/>
      <c r="J23" s="306"/>
      <c r="K23" s="306"/>
      <c r="L23" s="306"/>
      <c r="M23" s="306"/>
      <c r="N23" s="306"/>
      <c r="O23" s="306"/>
      <c r="P23" s="306"/>
    </row>
    <row r="24" spans="1:20">
      <c r="A24" s="232" t="s">
        <v>160</v>
      </c>
      <c r="B24" s="232"/>
      <c r="C24" s="232"/>
      <c r="D24" s="232"/>
      <c r="E24" s="232"/>
      <c r="F24" s="232"/>
      <c r="G24" s="232"/>
      <c r="H24" s="232"/>
      <c r="I24" s="232"/>
      <c r="J24" s="232"/>
      <c r="K24" s="232"/>
      <c r="L24" s="232"/>
      <c r="M24" s="232"/>
      <c r="N24" s="232"/>
      <c r="O24" s="232"/>
      <c r="P24" s="232"/>
    </row>
    <row r="25" spans="1:20" ht="30" customHeight="1"/>
    <row r="26" spans="1:20">
      <c r="A26" s="12" t="s">
        <v>1</v>
      </c>
    </row>
    <row r="27" spans="1:20">
      <c r="A27" s="12"/>
    </row>
    <row r="28" spans="1:20" s="94" customFormat="1" ht="33.75" customHeight="1">
      <c r="A28" s="305" t="s">
        <v>100</v>
      </c>
      <c r="B28" s="305"/>
      <c r="C28" s="305"/>
      <c r="D28" s="305"/>
      <c r="E28" s="305"/>
      <c r="F28" s="305"/>
      <c r="G28" s="305"/>
      <c r="H28" s="305"/>
      <c r="I28" s="305"/>
      <c r="J28" s="305"/>
      <c r="K28" s="305"/>
      <c r="L28" s="305"/>
      <c r="N28" s="283"/>
      <c r="O28" s="233"/>
      <c r="P28" s="283"/>
      <c r="Q28" s="95"/>
      <c r="S28" s="95"/>
      <c r="T28" s="95"/>
    </row>
    <row r="29" spans="1:20" s="94" customFormat="1" ht="12" customHeight="1">
      <c r="A29" s="283"/>
      <c r="B29" s="283"/>
      <c r="C29" s="283"/>
      <c r="D29" s="283"/>
      <c r="E29" s="283"/>
      <c r="F29" s="283"/>
      <c r="G29" s="283"/>
      <c r="H29" s="283"/>
      <c r="I29" s="283"/>
      <c r="J29" s="283"/>
      <c r="K29" s="283"/>
      <c r="L29" s="283"/>
      <c r="N29" s="283"/>
      <c r="O29" s="233"/>
      <c r="P29" s="283"/>
      <c r="Q29" s="95"/>
      <c r="S29" s="95"/>
      <c r="T29" s="95"/>
    </row>
    <row r="30" spans="1:20" ht="29.25" customHeight="1">
      <c r="A30" s="307" t="s">
        <v>197</v>
      </c>
      <c r="B30" s="307"/>
      <c r="C30" s="307"/>
      <c r="D30" s="307"/>
      <c r="E30" s="307"/>
      <c r="F30" s="307"/>
      <c r="G30" s="307"/>
      <c r="H30" s="307"/>
      <c r="I30" s="307"/>
      <c r="J30" s="307"/>
      <c r="K30" s="307"/>
      <c r="L30" s="307"/>
      <c r="M30" s="307"/>
      <c r="N30" s="307"/>
      <c r="O30" s="307"/>
      <c r="P30" s="307"/>
    </row>
    <row r="31" spans="1:20">
      <c r="A31" s="275"/>
      <c r="B31" s="232"/>
      <c r="C31" s="232"/>
      <c r="D31" s="232"/>
      <c r="E31" s="232"/>
      <c r="F31" s="232"/>
      <c r="G31" s="232"/>
      <c r="H31" s="232"/>
      <c r="I31" s="232"/>
      <c r="J31" s="232"/>
      <c r="K31" s="232"/>
      <c r="L31" s="232"/>
      <c r="M31" s="232"/>
      <c r="N31" s="232"/>
      <c r="O31" s="232"/>
      <c r="P31" s="232"/>
    </row>
    <row r="32" spans="1:20">
      <c r="A32" s="275" t="s">
        <v>2</v>
      </c>
      <c r="B32" s="232"/>
      <c r="C32" s="232"/>
      <c r="D32" s="232"/>
      <c r="E32" s="232"/>
      <c r="F32" s="232"/>
      <c r="G32" s="232"/>
      <c r="H32" s="232"/>
      <c r="I32" s="232"/>
      <c r="J32" s="232"/>
      <c r="K32" s="232"/>
      <c r="L32" s="232"/>
      <c r="M32" s="232"/>
      <c r="N32" s="232"/>
      <c r="O32" s="232"/>
      <c r="P32" s="232"/>
    </row>
    <row r="33" spans="1:20">
      <c r="A33" s="276" t="s">
        <v>3</v>
      </c>
      <c r="B33" s="232"/>
      <c r="C33" s="232"/>
      <c r="D33" s="232"/>
      <c r="E33" s="232"/>
      <c r="F33" s="232"/>
      <c r="G33" s="232"/>
      <c r="H33" s="232"/>
      <c r="I33" s="232"/>
      <c r="J33" s="232"/>
      <c r="K33" s="232"/>
      <c r="L33" s="232"/>
      <c r="M33" s="232"/>
      <c r="N33" s="232"/>
      <c r="O33" s="232"/>
      <c r="P33" s="232"/>
    </row>
    <row r="34" spans="1:20">
      <c r="A34" s="277"/>
      <c r="B34" s="232"/>
      <c r="C34" s="232"/>
      <c r="D34" s="232"/>
      <c r="E34" s="232"/>
      <c r="F34" s="232"/>
      <c r="G34" s="232"/>
      <c r="H34" s="232"/>
      <c r="I34" s="232"/>
      <c r="J34" s="232"/>
      <c r="K34" s="232"/>
      <c r="L34" s="232"/>
      <c r="M34" s="232"/>
      <c r="N34" s="232"/>
      <c r="O34" s="234"/>
      <c r="P34" s="232"/>
    </row>
    <row r="35" spans="1:20" s="290" customFormat="1">
      <c r="A35" s="286" t="s">
        <v>212</v>
      </c>
      <c r="B35" s="287"/>
      <c r="C35" s="287"/>
      <c r="D35" s="287"/>
      <c r="E35" s="287"/>
      <c r="F35" s="287"/>
      <c r="G35" s="287"/>
      <c r="H35" s="287"/>
      <c r="I35" s="287"/>
      <c r="J35" s="287"/>
      <c r="K35" s="287"/>
      <c r="L35" s="287"/>
      <c r="M35" s="287"/>
      <c r="N35" s="287"/>
      <c r="O35" s="288"/>
      <c r="P35" s="287"/>
      <c r="Q35" s="289"/>
      <c r="R35" s="289"/>
      <c r="S35" s="289"/>
      <c r="T35" s="289"/>
    </row>
    <row r="36" spans="1:20">
      <c r="A36" s="277"/>
      <c r="B36" s="232"/>
      <c r="C36" s="232"/>
      <c r="D36" s="232"/>
      <c r="E36" s="232"/>
      <c r="F36" s="232"/>
      <c r="G36" s="232"/>
      <c r="H36" s="232"/>
      <c r="I36" s="232"/>
      <c r="J36" s="232"/>
      <c r="K36" s="232"/>
      <c r="L36" s="232"/>
      <c r="M36" s="232"/>
      <c r="N36" s="232"/>
      <c r="O36" s="234"/>
      <c r="P36" s="232"/>
    </row>
    <row r="37" spans="1:20">
      <c r="A37" s="278" t="s">
        <v>191</v>
      </c>
      <c r="B37" s="232"/>
      <c r="C37" s="232"/>
      <c r="D37" s="232"/>
      <c r="E37" s="232"/>
      <c r="F37" s="232"/>
      <c r="G37" s="232"/>
      <c r="H37" s="232"/>
      <c r="I37" s="232"/>
      <c r="J37" s="232"/>
      <c r="K37" s="232"/>
      <c r="L37" s="232"/>
      <c r="M37" s="232"/>
      <c r="N37" s="232"/>
      <c r="O37" s="234"/>
      <c r="P37" s="232"/>
    </row>
    <row r="38" spans="1:20">
      <c r="A38" s="276" t="s">
        <v>192</v>
      </c>
      <c r="B38" s="232"/>
      <c r="C38" s="232"/>
      <c r="D38" s="232"/>
      <c r="E38" s="232"/>
      <c r="F38" s="232"/>
      <c r="G38" s="232"/>
      <c r="H38" s="232"/>
      <c r="I38" s="232"/>
      <c r="J38" s="232"/>
      <c r="K38" s="232"/>
      <c r="L38" s="232"/>
      <c r="M38" s="232"/>
      <c r="N38" s="232"/>
      <c r="O38" s="234"/>
      <c r="P38" s="232"/>
    </row>
    <row r="39" spans="1:20">
      <c r="A39" s="277"/>
      <c r="B39" s="232"/>
      <c r="C39" s="232"/>
      <c r="D39" s="232"/>
      <c r="E39" s="232"/>
      <c r="F39" s="232"/>
      <c r="G39" s="232"/>
      <c r="H39" s="232"/>
      <c r="I39" s="232"/>
      <c r="J39" s="232"/>
      <c r="K39" s="232"/>
      <c r="L39" s="232"/>
      <c r="M39" s="232"/>
      <c r="N39" s="232"/>
      <c r="O39" s="234"/>
      <c r="P39" s="232"/>
    </row>
    <row r="40" spans="1:20">
      <c r="A40" s="303" t="s">
        <v>65</v>
      </c>
      <c r="B40" s="303"/>
      <c r="C40" s="303"/>
      <c r="D40" s="303"/>
      <c r="E40" s="303"/>
      <c r="F40" s="303"/>
      <c r="G40" s="303"/>
      <c r="H40" s="303"/>
      <c r="I40" s="303"/>
      <c r="J40" s="303"/>
      <c r="K40" s="303"/>
      <c r="L40" s="303"/>
      <c r="M40" s="303"/>
      <c r="N40" s="303"/>
      <c r="O40" s="303"/>
      <c r="P40" s="232"/>
      <c r="Q40"/>
      <c r="R40"/>
      <c r="S40"/>
      <c r="T40"/>
    </row>
    <row r="41" spans="1:20">
      <c r="A41" s="275"/>
      <c r="B41" s="232"/>
      <c r="C41" s="232"/>
      <c r="D41" s="232"/>
      <c r="E41" s="232"/>
      <c r="F41" s="232"/>
      <c r="G41" s="232"/>
      <c r="H41" s="232"/>
      <c r="I41" s="232"/>
      <c r="J41" s="232"/>
      <c r="K41" s="232"/>
      <c r="L41" s="232"/>
      <c r="M41" s="232"/>
      <c r="N41" s="232"/>
      <c r="O41" s="232"/>
      <c r="P41" s="232"/>
    </row>
    <row r="42" spans="1:20">
      <c r="A42" s="275" t="s">
        <v>165</v>
      </c>
      <c r="B42" s="232"/>
      <c r="C42" s="232"/>
      <c r="D42" s="232"/>
      <c r="E42" s="232"/>
      <c r="F42" s="232"/>
      <c r="G42" s="232"/>
      <c r="H42" s="232"/>
      <c r="I42" s="232"/>
      <c r="J42" s="232"/>
      <c r="K42" s="232"/>
      <c r="L42" s="232"/>
      <c r="M42" s="232"/>
      <c r="N42" s="232"/>
      <c r="O42" s="232"/>
      <c r="P42" s="232"/>
    </row>
    <row r="43" spans="1:20">
      <c r="A43" s="276" t="s">
        <v>4</v>
      </c>
      <c r="B43" s="232"/>
      <c r="C43" s="232"/>
      <c r="D43" s="232"/>
      <c r="E43" s="232"/>
      <c r="F43" s="232"/>
      <c r="G43" s="232"/>
      <c r="H43" s="232"/>
      <c r="I43" s="232"/>
      <c r="J43" s="232"/>
      <c r="K43" s="232"/>
      <c r="L43" s="232"/>
      <c r="M43" s="232"/>
      <c r="N43" s="232"/>
      <c r="O43" s="232"/>
      <c r="P43" s="232"/>
    </row>
    <row r="44" spans="1:20">
      <c r="A44" s="232"/>
      <c r="B44" s="232"/>
      <c r="C44" s="232"/>
      <c r="D44" s="232"/>
      <c r="E44" s="232"/>
      <c r="F44" s="232"/>
      <c r="G44" s="232"/>
      <c r="H44" s="232"/>
      <c r="I44" s="232"/>
      <c r="J44" s="232"/>
      <c r="K44" s="232"/>
      <c r="L44" s="232"/>
      <c r="M44" s="232"/>
      <c r="N44" s="232"/>
      <c r="O44" s="232"/>
      <c r="P44" s="232"/>
    </row>
    <row r="45" spans="1:20" ht="26.25" customHeight="1">
      <c r="A45" s="293" t="s">
        <v>166</v>
      </c>
      <c r="B45" s="294"/>
      <c r="C45" s="294"/>
      <c r="D45" s="294"/>
      <c r="E45" s="294"/>
      <c r="F45" s="294"/>
      <c r="G45" s="294"/>
      <c r="H45" s="294"/>
      <c r="I45" s="294"/>
      <c r="J45" s="294"/>
      <c r="K45" s="294"/>
      <c r="L45" s="294"/>
      <c r="M45" s="294"/>
      <c r="N45" s="294"/>
      <c r="O45" s="232"/>
      <c r="P45" s="232"/>
    </row>
    <row r="46" spans="1:20">
      <c r="A46" s="276" t="s">
        <v>5</v>
      </c>
      <c r="B46" s="232"/>
      <c r="C46" s="232"/>
      <c r="D46" s="232"/>
      <c r="E46" s="232"/>
      <c r="F46" s="232"/>
      <c r="G46" s="232"/>
      <c r="H46" s="232"/>
      <c r="I46" s="232"/>
      <c r="J46" s="232"/>
      <c r="K46" s="232"/>
      <c r="L46" s="232"/>
      <c r="M46" s="232"/>
      <c r="N46" s="232"/>
      <c r="O46" s="232"/>
      <c r="P46" s="232"/>
    </row>
    <row r="47" spans="1:20">
      <c r="A47" s="13"/>
    </row>
    <row r="49" spans="1:1">
      <c r="A49" s="93"/>
    </row>
    <row r="50" spans="1:1">
      <c r="A50" s="11" t="s">
        <v>213</v>
      </c>
    </row>
  </sheetData>
  <sheetProtection password="AFF9" sheet="1" objects="1" scenarios="1"/>
  <mergeCells count="14">
    <mergeCell ref="A45:N45"/>
    <mergeCell ref="A2:N2"/>
    <mergeCell ref="A3:N3"/>
    <mergeCell ref="A4:N4"/>
    <mergeCell ref="C15:N15"/>
    <mergeCell ref="C16:N16"/>
    <mergeCell ref="C17:N17"/>
    <mergeCell ref="C18:N18"/>
    <mergeCell ref="A40:O40"/>
    <mergeCell ref="C19:N19"/>
    <mergeCell ref="A5:P5"/>
    <mergeCell ref="A28:L28"/>
    <mergeCell ref="A23:P23"/>
    <mergeCell ref="A30:P30"/>
  </mergeCells>
  <hyperlinks>
    <hyperlink ref="A43" r:id="rId1"/>
    <hyperlink ref="A46" r:id="rId2"/>
    <hyperlink ref="A33" r:id="rId3"/>
  </hyperlinks>
  <pageMargins left="0.5" right="0.49" top="0.55000000000000004" bottom="0.56000000000000005" header="0.3" footer="0.3"/>
  <pageSetup orientation="landscape" horizontalDpi="300" verticalDpi="300" r:id="rId4"/>
</worksheet>
</file>

<file path=xl/worksheets/sheet2.xml><?xml version="1.0" encoding="utf-8"?>
<worksheet xmlns="http://schemas.openxmlformats.org/spreadsheetml/2006/main" xmlns:r="http://schemas.openxmlformats.org/officeDocument/2006/relationships">
  <dimension ref="A1:V91"/>
  <sheetViews>
    <sheetView workbookViewId="0">
      <selection activeCell="D29" sqref="D29"/>
    </sheetView>
  </sheetViews>
  <sheetFormatPr defaultRowHeight="15"/>
  <cols>
    <col min="1" max="1" width="9.140625" style="2"/>
    <col min="2" max="2" width="50.7109375" style="2" customWidth="1"/>
    <col min="3" max="3" width="10.28515625" style="2" customWidth="1"/>
    <col min="4" max="5" width="17.28515625" style="2" customWidth="1"/>
    <col min="6" max="6" width="9.140625" style="2"/>
    <col min="7" max="7" width="10.42578125" style="2" customWidth="1"/>
    <col min="8" max="8" width="11.85546875" style="2" bestFit="1" customWidth="1"/>
    <col min="9" max="9" width="10" style="2" customWidth="1"/>
    <col min="10" max="10" width="19.140625" style="2" customWidth="1"/>
    <col min="11" max="11" width="8.140625" style="2" customWidth="1"/>
    <col min="12" max="12" width="10" style="2" customWidth="1"/>
    <col min="13" max="13" width="11.85546875" style="2" bestFit="1" customWidth="1"/>
    <col min="14" max="14" width="13.140625" style="2" customWidth="1"/>
    <col min="15" max="15" width="11.140625" style="2" customWidth="1"/>
    <col min="16" max="19" width="11.140625" style="2" hidden="1" customWidth="1"/>
    <col min="20" max="20" width="11.140625" style="2" customWidth="1"/>
    <col min="21" max="22" width="9.140625" style="2"/>
    <col min="27" max="27" width="40.28515625" bestFit="1" customWidth="1"/>
    <col min="28" max="28" width="10.28515625" customWidth="1"/>
    <col min="29" max="29" width="12.85546875" customWidth="1"/>
    <col min="30" max="30" width="10.42578125" customWidth="1"/>
    <col min="31" max="31" width="10.5703125" customWidth="1"/>
    <col min="32" max="32" width="9.85546875" customWidth="1"/>
    <col min="33" max="33" width="10.140625" customWidth="1"/>
    <col min="34" max="34" width="12.28515625" customWidth="1"/>
    <col min="36" max="36" width="29.85546875" bestFit="1" customWidth="1"/>
  </cols>
  <sheetData>
    <row r="1" spans="1:19">
      <c r="A1" s="1"/>
    </row>
    <row r="2" spans="1:19" ht="20.25">
      <c r="A2" s="1"/>
      <c r="B2" s="90" t="s">
        <v>172</v>
      </c>
    </row>
    <row r="3" spans="1:19" ht="15.75" thickBot="1">
      <c r="A3" s="1"/>
      <c r="B3" s="3"/>
    </row>
    <row r="4" spans="1:19" ht="17.25" thickTop="1" thickBot="1">
      <c r="A4" s="65" t="s">
        <v>29</v>
      </c>
      <c r="B4" s="69" t="s">
        <v>35</v>
      </c>
      <c r="J4" s="311" t="s">
        <v>130</v>
      </c>
      <c r="K4" s="312"/>
      <c r="L4" s="312"/>
      <c r="M4" s="313"/>
    </row>
    <row r="5" spans="1:19" ht="33" thickTop="1" thickBot="1">
      <c r="A5" s="1"/>
      <c r="B5" s="4"/>
      <c r="J5" s="171" t="s">
        <v>7</v>
      </c>
      <c r="K5" s="167" t="s">
        <v>6</v>
      </c>
      <c r="L5" s="167" t="s">
        <v>71</v>
      </c>
      <c r="M5" s="166" t="s">
        <v>72</v>
      </c>
    </row>
    <row r="6" spans="1:19" ht="25.5" customHeight="1" thickBot="1">
      <c r="A6" s="72">
        <v>1</v>
      </c>
      <c r="B6" s="310" t="s">
        <v>90</v>
      </c>
      <c r="C6" s="310"/>
      <c r="D6" s="310"/>
      <c r="E6" s="310"/>
      <c r="F6" s="310"/>
      <c r="G6" s="310"/>
      <c r="H6" s="170"/>
      <c r="I6" s="170"/>
      <c r="J6" s="213">
        <f>E67</f>
        <v>0</v>
      </c>
      <c r="K6" s="214">
        <f>F67</f>
        <v>0</v>
      </c>
      <c r="L6" s="214">
        <f>G67</f>
        <v>0</v>
      </c>
      <c r="M6" s="215">
        <f>H67</f>
        <v>0</v>
      </c>
      <c r="N6" s="170"/>
    </row>
    <row r="7" spans="1:19">
      <c r="A7" s="1"/>
      <c r="B7" s="2" t="s">
        <v>118</v>
      </c>
      <c r="P7" s="22"/>
    </row>
    <row r="8" spans="1:19">
      <c r="A8" s="1"/>
      <c r="B8" s="4" t="s">
        <v>119</v>
      </c>
      <c r="P8" s="22"/>
    </row>
    <row r="9" spans="1:19">
      <c r="A9" s="1"/>
      <c r="B9" s="4"/>
    </row>
    <row r="10" spans="1:19">
      <c r="A10" s="1"/>
      <c r="B10" s="14"/>
      <c r="C10" s="15"/>
      <c r="D10" s="16"/>
      <c r="E10" s="16"/>
      <c r="F10" s="17"/>
      <c r="G10" s="17"/>
      <c r="H10" s="17"/>
      <c r="I10" s="17"/>
      <c r="J10" s="17"/>
      <c r="K10" s="17"/>
      <c r="L10" s="17"/>
      <c r="M10" s="17"/>
      <c r="N10" s="17"/>
    </row>
    <row r="11" spans="1:19" ht="15.75" thickBot="1">
      <c r="B11" s="20" t="s">
        <v>47</v>
      </c>
    </row>
    <row r="12" spans="1:19" ht="45.75" thickBot="1">
      <c r="B12" s="47" t="s">
        <v>78</v>
      </c>
      <c r="C12" s="48" t="s">
        <v>39</v>
      </c>
      <c r="D12" s="49" t="s">
        <v>69</v>
      </c>
      <c r="E12" s="168" t="s">
        <v>7</v>
      </c>
      <c r="F12" s="169" t="s">
        <v>6</v>
      </c>
      <c r="G12" s="169" t="s">
        <v>71</v>
      </c>
      <c r="H12" s="169" t="s">
        <v>72</v>
      </c>
      <c r="I12" s="79"/>
      <c r="J12" s="79"/>
      <c r="K12" s="79"/>
      <c r="L12" s="79"/>
      <c r="M12" s="79"/>
      <c r="P12" s="28" t="s">
        <v>46</v>
      </c>
      <c r="Q12" s="53" t="s">
        <v>12</v>
      </c>
      <c r="R12" s="53" t="s">
        <v>55</v>
      </c>
      <c r="S12" s="54" t="s">
        <v>13</v>
      </c>
    </row>
    <row r="13" spans="1:19">
      <c r="B13" s="19" t="s">
        <v>51</v>
      </c>
      <c r="C13" s="44" t="s">
        <v>28</v>
      </c>
      <c r="D13" s="375"/>
      <c r="E13" s="52">
        <f t="shared" ref="E13:E44" si="0">D13*P13*0.0833</f>
        <v>0</v>
      </c>
      <c r="F13" s="51">
        <f>$D13*$P13*$Q13*0.2266</f>
        <v>0</v>
      </c>
      <c r="G13" s="51">
        <f t="shared" ref="G13:G44" si="1">$D13*$P13*R13*0.2266</f>
        <v>0</v>
      </c>
      <c r="H13" s="51">
        <f t="shared" ref="H13:H44" si="2">$D13*$P13*S13*0.2266</f>
        <v>0</v>
      </c>
      <c r="I13" s="160"/>
      <c r="J13" s="160"/>
      <c r="K13" s="160"/>
      <c r="L13" s="160"/>
      <c r="M13" s="160"/>
      <c r="P13" s="262">
        <f>12.5%*P25+87.5%*0.78</f>
        <v>0.71499999999999997</v>
      </c>
      <c r="Q13" s="24">
        <v>0.39</v>
      </c>
      <c r="R13" s="24">
        <v>5.88</v>
      </c>
      <c r="S13" s="55">
        <v>136</v>
      </c>
    </row>
    <row r="14" spans="1:19">
      <c r="B14" s="19" t="s">
        <v>51</v>
      </c>
      <c r="C14" s="18" t="s">
        <v>32</v>
      </c>
      <c r="D14" s="376"/>
      <c r="E14" s="52">
        <f t="shared" si="0"/>
        <v>0</v>
      </c>
      <c r="F14" s="51">
        <f t="shared" ref="F14:F45" si="3">$D14*$P14*Q14*0.2266</f>
        <v>0</v>
      </c>
      <c r="G14" s="51">
        <f t="shared" si="1"/>
        <v>0</v>
      </c>
      <c r="H14" s="51">
        <f t="shared" si="2"/>
        <v>0</v>
      </c>
      <c r="I14" s="160"/>
      <c r="J14" s="160"/>
      <c r="K14" s="160"/>
      <c r="L14" s="160"/>
      <c r="M14" s="160"/>
      <c r="P14" s="262">
        <f>12.5%*P26+87.5%*2.23</f>
        <v>2.125</v>
      </c>
      <c r="Q14" s="24">
        <v>0.39</v>
      </c>
      <c r="R14" s="24">
        <v>5.88</v>
      </c>
      <c r="S14" s="56">
        <v>136</v>
      </c>
    </row>
    <row r="15" spans="1:19">
      <c r="B15" s="19" t="s">
        <v>70</v>
      </c>
      <c r="C15" s="18" t="s">
        <v>33</v>
      </c>
      <c r="D15" s="376"/>
      <c r="E15" s="52">
        <f t="shared" si="0"/>
        <v>0</v>
      </c>
      <c r="F15" s="51">
        <f t="shared" si="3"/>
        <v>0</v>
      </c>
      <c r="G15" s="51">
        <f t="shared" si="1"/>
        <v>0</v>
      </c>
      <c r="H15" s="51">
        <f t="shared" si="2"/>
        <v>0</v>
      </c>
      <c r="I15" s="160"/>
      <c r="J15" s="160"/>
      <c r="K15" s="160"/>
      <c r="L15" s="160"/>
      <c r="M15" s="160"/>
      <c r="P15" s="262">
        <f>12.5%*P27+87.5%*4.27</f>
        <v>4.17875</v>
      </c>
      <c r="Q15" s="24">
        <v>0.39</v>
      </c>
      <c r="R15" s="24">
        <v>5.88</v>
      </c>
      <c r="S15" s="56">
        <v>136</v>
      </c>
    </row>
    <row r="16" spans="1:19" ht="15.75" thickBot="1">
      <c r="B16" s="42" t="s">
        <v>51</v>
      </c>
      <c r="C16" s="85" t="s">
        <v>36</v>
      </c>
      <c r="D16" s="377"/>
      <c r="E16" s="86">
        <f t="shared" si="0"/>
        <v>0</v>
      </c>
      <c r="F16" s="87">
        <f t="shared" si="3"/>
        <v>0</v>
      </c>
      <c r="G16" s="87">
        <f t="shared" si="1"/>
        <v>0</v>
      </c>
      <c r="H16" s="87">
        <f t="shared" si="2"/>
        <v>0</v>
      </c>
      <c r="I16" s="160"/>
      <c r="J16" s="160"/>
      <c r="K16" s="160"/>
      <c r="L16" s="160"/>
      <c r="M16" s="160"/>
      <c r="P16" s="263">
        <f>12.5%*P25+87.5%*5.67</f>
        <v>4.9937499999999995</v>
      </c>
      <c r="Q16" s="26">
        <v>0.39</v>
      </c>
      <c r="R16" s="26">
        <v>5.88</v>
      </c>
      <c r="S16" s="57">
        <v>136</v>
      </c>
    </row>
    <row r="17" spans="2:19">
      <c r="B17" s="19" t="s">
        <v>53</v>
      </c>
      <c r="C17" s="44" t="s">
        <v>28</v>
      </c>
      <c r="D17" s="375"/>
      <c r="E17" s="52">
        <f t="shared" si="0"/>
        <v>0</v>
      </c>
      <c r="F17" s="51">
        <f t="shared" si="3"/>
        <v>0</v>
      </c>
      <c r="G17" s="51">
        <f t="shared" si="1"/>
        <v>0</v>
      </c>
      <c r="H17" s="51">
        <f t="shared" si="2"/>
        <v>0</v>
      </c>
      <c r="I17" s="160"/>
      <c r="J17" s="160"/>
      <c r="K17" s="160"/>
      <c r="L17" s="160"/>
      <c r="M17" s="160"/>
      <c r="P17" s="262">
        <f>16.5%*P25+83.5%*0.44</f>
        <v>0.4103</v>
      </c>
      <c r="Q17" s="24">
        <v>0.39</v>
      </c>
      <c r="R17" s="24">
        <v>5.84</v>
      </c>
      <c r="S17" s="29">
        <v>133</v>
      </c>
    </row>
    <row r="18" spans="2:19">
      <c r="B18" s="19" t="s">
        <v>53</v>
      </c>
      <c r="C18" s="18" t="s">
        <v>32</v>
      </c>
      <c r="D18" s="376"/>
      <c r="E18" s="52">
        <f t="shared" si="0"/>
        <v>0</v>
      </c>
      <c r="F18" s="51">
        <f t="shared" si="3"/>
        <v>0</v>
      </c>
      <c r="G18" s="51">
        <f t="shared" si="1"/>
        <v>0</v>
      </c>
      <c r="H18" s="51">
        <f t="shared" si="2"/>
        <v>0</v>
      </c>
      <c r="I18" s="160"/>
      <c r="J18" s="160"/>
      <c r="K18" s="160"/>
      <c r="L18" s="160"/>
      <c r="M18" s="160"/>
      <c r="P18" s="262">
        <f>16.5%*P26+83.5%*1.51</f>
        <v>1.4902</v>
      </c>
      <c r="Q18" s="24">
        <v>0.39</v>
      </c>
      <c r="R18" s="24">
        <v>5.84</v>
      </c>
      <c r="S18" s="29">
        <v>133</v>
      </c>
    </row>
    <row r="19" spans="2:19">
      <c r="B19" s="19" t="s">
        <v>53</v>
      </c>
      <c r="C19" s="18" t="s">
        <v>33</v>
      </c>
      <c r="D19" s="376"/>
      <c r="E19" s="52">
        <f t="shared" si="0"/>
        <v>0</v>
      </c>
      <c r="F19" s="51">
        <f t="shared" si="3"/>
        <v>0</v>
      </c>
      <c r="G19" s="51">
        <f t="shared" si="1"/>
        <v>0</v>
      </c>
      <c r="H19" s="51">
        <f t="shared" si="2"/>
        <v>0</v>
      </c>
      <c r="I19" s="160"/>
      <c r="J19" s="160"/>
      <c r="K19" s="160"/>
      <c r="L19" s="160"/>
      <c r="M19" s="160"/>
      <c r="P19" s="262">
        <f>16.5%*P27+83.5%*3.16</f>
        <v>3.2226999999999997</v>
      </c>
      <c r="Q19" s="24">
        <v>0.39</v>
      </c>
      <c r="R19" s="24">
        <v>5.84</v>
      </c>
      <c r="S19" s="29">
        <v>133</v>
      </c>
    </row>
    <row r="20" spans="2:19" ht="15.75" thickBot="1">
      <c r="B20" s="42" t="s">
        <v>53</v>
      </c>
      <c r="C20" s="85" t="s">
        <v>36</v>
      </c>
      <c r="D20" s="377"/>
      <c r="E20" s="86">
        <f t="shared" si="0"/>
        <v>0</v>
      </c>
      <c r="F20" s="87">
        <f t="shared" si="3"/>
        <v>0</v>
      </c>
      <c r="G20" s="87">
        <f t="shared" si="1"/>
        <v>0</v>
      </c>
      <c r="H20" s="87">
        <f t="shared" si="2"/>
        <v>0</v>
      </c>
      <c r="I20" s="160"/>
      <c r="J20" s="160"/>
      <c r="K20" s="160"/>
      <c r="L20" s="160"/>
      <c r="M20" s="160"/>
      <c r="P20" s="262">
        <f>16.5%*P28+83.5%*5.67</f>
        <v>5.67</v>
      </c>
      <c r="Q20" s="24">
        <v>0.39</v>
      </c>
      <c r="R20" s="24">
        <v>5.84</v>
      </c>
      <c r="S20" s="29">
        <v>133</v>
      </c>
    </row>
    <row r="21" spans="2:19">
      <c r="B21" s="19" t="s">
        <v>18</v>
      </c>
      <c r="C21" s="44" t="s">
        <v>28</v>
      </c>
      <c r="D21" s="375"/>
      <c r="E21" s="52">
        <f t="shared" si="0"/>
        <v>0</v>
      </c>
      <c r="F21" s="51">
        <f t="shared" si="3"/>
        <v>0</v>
      </c>
      <c r="G21" s="51">
        <f t="shared" si="1"/>
        <v>0</v>
      </c>
      <c r="H21" s="51">
        <f t="shared" si="2"/>
        <v>0</v>
      </c>
      <c r="I21" s="160"/>
      <c r="J21" s="160"/>
      <c r="K21" s="160"/>
      <c r="L21" s="160"/>
      <c r="M21" s="160"/>
      <c r="P21" s="264">
        <v>0.14000000000000001</v>
      </c>
      <c r="Q21" s="23">
        <v>0.11</v>
      </c>
      <c r="R21" s="23">
        <v>1.74</v>
      </c>
      <c r="S21" s="30">
        <v>51</v>
      </c>
    </row>
    <row r="22" spans="2:19">
      <c r="B22" s="19" t="s">
        <v>18</v>
      </c>
      <c r="C22" s="18" t="s">
        <v>32</v>
      </c>
      <c r="D22" s="376"/>
      <c r="E22" s="52">
        <f t="shared" si="0"/>
        <v>0</v>
      </c>
      <c r="F22" s="51">
        <f t="shared" si="3"/>
        <v>0</v>
      </c>
      <c r="G22" s="51">
        <f t="shared" si="1"/>
        <v>0</v>
      </c>
      <c r="H22" s="51">
        <f t="shared" si="2"/>
        <v>0</v>
      </c>
      <c r="I22" s="160"/>
      <c r="J22" s="160"/>
      <c r="K22" s="160"/>
      <c r="L22" s="160"/>
      <c r="M22" s="160"/>
      <c r="P22" s="265">
        <v>1.27</v>
      </c>
      <c r="Q22" s="25">
        <v>0.11</v>
      </c>
      <c r="R22" s="25">
        <v>1.74</v>
      </c>
      <c r="S22" s="31">
        <v>51</v>
      </c>
    </row>
    <row r="23" spans="2:19">
      <c r="B23" s="19" t="s">
        <v>18</v>
      </c>
      <c r="C23" s="18" t="s">
        <v>33</v>
      </c>
      <c r="D23" s="376"/>
      <c r="E23" s="52">
        <f t="shared" si="0"/>
        <v>0</v>
      </c>
      <c r="F23" s="51">
        <f t="shared" si="3"/>
        <v>0</v>
      </c>
      <c r="G23" s="51">
        <f t="shared" si="1"/>
        <v>0</v>
      </c>
      <c r="H23" s="51">
        <f t="shared" si="2"/>
        <v>0</v>
      </c>
      <c r="I23" s="160"/>
      <c r="J23" s="160"/>
      <c r="K23" s="160"/>
      <c r="L23" s="160"/>
      <c r="M23" s="160"/>
      <c r="P23" s="262">
        <v>3.23</v>
      </c>
      <c r="Q23" s="25">
        <v>0.11</v>
      </c>
      <c r="R23" s="25">
        <v>1.74</v>
      </c>
      <c r="S23" s="31">
        <v>51</v>
      </c>
    </row>
    <row r="24" spans="2:19" ht="15.75" thickBot="1">
      <c r="B24" s="42" t="s">
        <v>18</v>
      </c>
      <c r="C24" s="85" t="s">
        <v>36</v>
      </c>
      <c r="D24" s="377"/>
      <c r="E24" s="86">
        <f t="shared" si="0"/>
        <v>0</v>
      </c>
      <c r="F24" s="87">
        <f t="shared" si="3"/>
        <v>0</v>
      </c>
      <c r="G24" s="87">
        <f t="shared" si="1"/>
        <v>0</v>
      </c>
      <c r="H24" s="87">
        <f t="shared" si="2"/>
        <v>0</v>
      </c>
      <c r="I24" s="160"/>
      <c r="J24" s="160"/>
      <c r="K24" s="160"/>
      <c r="L24" s="160"/>
      <c r="M24" s="160"/>
      <c r="P24" s="263">
        <v>5.15</v>
      </c>
      <c r="Q24" s="27">
        <v>0.11</v>
      </c>
      <c r="R24" s="27">
        <v>1.74</v>
      </c>
      <c r="S24" s="32">
        <v>51</v>
      </c>
    </row>
    <row r="25" spans="2:19">
      <c r="B25" s="19" t="s">
        <v>49</v>
      </c>
      <c r="C25" s="44" t="s">
        <v>28</v>
      </c>
      <c r="D25" s="375"/>
      <c r="E25" s="52">
        <f t="shared" si="0"/>
        <v>0</v>
      </c>
      <c r="F25" s="51">
        <f t="shared" si="3"/>
        <v>0</v>
      </c>
      <c r="G25" s="51">
        <f t="shared" si="1"/>
        <v>0</v>
      </c>
      <c r="H25" s="51">
        <f t="shared" si="2"/>
        <v>0</v>
      </c>
      <c r="I25" s="160"/>
      <c r="J25" s="160"/>
      <c r="K25" s="160"/>
      <c r="L25" s="160"/>
      <c r="M25" s="160"/>
      <c r="P25" s="262">
        <v>0.26</v>
      </c>
      <c r="Q25" s="25">
        <v>0.52</v>
      </c>
      <c r="R25" s="25">
        <v>5.15</v>
      </c>
      <c r="S25" s="31">
        <v>70</v>
      </c>
    </row>
    <row r="26" spans="2:19">
      <c r="B26" s="19" t="s">
        <v>49</v>
      </c>
      <c r="C26" s="18" t="s">
        <v>32</v>
      </c>
      <c r="D26" s="376"/>
      <c r="E26" s="52">
        <f t="shared" si="0"/>
        <v>0</v>
      </c>
      <c r="F26" s="51">
        <f t="shared" si="3"/>
        <v>0</v>
      </c>
      <c r="G26" s="51">
        <f t="shared" si="1"/>
        <v>0</v>
      </c>
      <c r="H26" s="51">
        <f t="shared" si="2"/>
        <v>0</v>
      </c>
      <c r="I26" s="160"/>
      <c r="J26" s="160"/>
      <c r="K26" s="160"/>
      <c r="L26" s="160"/>
      <c r="M26" s="160"/>
      <c r="P26" s="262">
        <v>1.39</v>
      </c>
      <c r="Q26" s="25">
        <v>0.52</v>
      </c>
      <c r="R26" s="25">
        <v>5.15</v>
      </c>
      <c r="S26" s="31">
        <v>70</v>
      </c>
    </row>
    <row r="27" spans="2:19">
      <c r="B27" s="19" t="s">
        <v>49</v>
      </c>
      <c r="C27" s="18" t="s">
        <v>33</v>
      </c>
      <c r="D27" s="376"/>
      <c r="E27" s="52">
        <f t="shared" si="0"/>
        <v>0</v>
      </c>
      <c r="F27" s="51">
        <f t="shared" si="3"/>
        <v>0</v>
      </c>
      <c r="G27" s="51">
        <f t="shared" si="1"/>
        <v>0</v>
      </c>
      <c r="H27" s="51">
        <f t="shared" si="2"/>
        <v>0</v>
      </c>
      <c r="I27" s="160"/>
      <c r="J27" s="160"/>
      <c r="K27" s="160"/>
      <c r="L27" s="160"/>
      <c r="M27" s="160"/>
      <c r="P27" s="262">
        <v>3.54</v>
      </c>
      <c r="Q27" s="25">
        <v>0.52</v>
      </c>
      <c r="R27" s="25">
        <v>5.15</v>
      </c>
      <c r="S27" s="31">
        <v>70</v>
      </c>
    </row>
    <row r="28" spans="2:19" ht="15" customHeight="1" thickBot="1">
      <c r="B28" s="42" t="s">
        <v>49</v>
      </c>
      <c r="C28" s="85" t="s">
        <v>36</v>
      </c>
      <c r="D28" s="377"/>
      <c r="E28" s="86">
        <f t="shared" si="0"/>
        <v>0</v>
      </c>
      <c r="F28" s="87">
        <f t="shared" si="3"/>
        <v>0</v>
      </c>
      <c r="G28" s="87">
        <f t="shared" si="1"/>
        <v>0</v>
      </c>
      <c r="H28" s="87">
        <f t="shared" si="2"/>
        <v>0</v>
      </c>
      <c r="I28" s="160"/>
      <c r="J28" s="160"/>
      <c r="K28" s="160"/>
      <c r="L28" s="160"/>
      <c r="M28" s="160"/>
      <c r="P28" s="262">
        <v>5.67</v>
      </c>
      <c r="Q28" s="25">
        <v>0.52</v>
      </c>
      <c r="R28" s="25">
        <v>5.15</v>
      </c>
      <c r="S28" s="31">
        <v>70</v>
      </c>
    </row>
    <row r="29" spans="2:19">
      <c r="B29" s="19" t="s">
        <v>44</v>
      </c>
      <c r="C29" s="44" t="s">
        <v>28</v>
      </c>
      <c r="D29" s="375"/>
      <c r="E29" s="52">
        <f t="shared" si="0"/>
        <v>0</v>
      </c>
      <c r="F29" s="51">
        <f t="shared" si="3"/>
        <v>0</v>
      </c>
      <c r="G29" s="51">
        <f t="shared" si="1"/>
        <v>0</v>
      </c>
      <c r="H29" s="51">
        <f t="shared" si="2"/>
        <v>0</v>
      </c>
      <c r="I29" s="160"/>
      <c r="J29" s="160"/>
      <c r="K29" s="160"/>
      <c r="L29" s="160"/>
      <c r="M29" s="160"/>
      <c r="P29" s="264">
        <v>0.56999999999999995</v>
      </c>
      <c r="Q29" s="23">
        <v>0.52</v>
      </c>
      <c r="R29" s="23">
        <v>5.15</v>
      </c>
      <c r="S29" s="30">
        <v>70</v>
      </c>
    </row>
    <row r="30" spans="2:19">
      <c r="B30" s="19" t="s">
        <v>44</v>
      </c>
      <c r="C30" s="18" t="s">
        <v>32</v>
      </c>
      <c r="D30" s="376"/>
      <c r="E30" s="52">
        <f t="shared" si="0"/>
        <v>0</v>
      </c>
      <c r="F30" s="51">
        <f t="shared" si="3"/>
        <v>0</v>
      </c>
      <c r="G30" s="51">
        <f t="shared" si="1"/>
        <v>0</v>
      </c>
      <c r="H30" s="51">
        <f t="shared" si="2"/>
        <v>0</v>
      </c>
      <c r="I30" s="160"/>
      <c r="J30" s="160"/>
      <c r="K30" s="160"/>
      <c r="L30" s="160"/>
      <c r="M30" s="160"/>
      <c r="P30" s="262">
        <v>2.23</v>
      </c>
      <c r="Q30" s="25">
        <v>0.52</v>
      </c>
      <c r="R30" s="25">
        <v>5.15</v>
      </c>
      <c r="S30" s="31">
        <v>70</v>
      </c>
    </row>
    <row r="31" spans="2:19">
      <c r="B31" s="19" t="s">
        <v>44</v>
      </c>
      <c r="C31" s="18" t="s">
        <v>33</v>
      </c>
      <c r="D31" s="376"/>
      <c r="E31" s="52">
        <f t="shared" si="0"/>
        <v>0</v>
      </c>
      <c r="F31" s="51">
        <f t="shared" si="3"/>
        <v>0</v>
      </c>
      <c r="G31" s="51">
        <f t="shared" si="1"/>
        <v>0</v>
      </c>
      <c r="H31" s="51">
        <f t="shared" si="2"/>
        <v>0</v>
      </c>
      <c r="I31" s="160"/>
      <c r="J31" s="160"/>
      <c r="K31" s="160"/>
      <c r="L31" s="160"/>
      <c r="M31" s="160"/>
      <c r="P31" s="262">
        <v>4.6900000000000004</v>
      </c>
      <c r="Q31" s="25">
        <v>0.52</v>
      </c>
      <c r="R31" s="25">
        <v>5.15</v>
      </c>
      <c r="S31" s="31">
        <v>70</v>
      </c>
    </row>
    <row r="32" spans="2:19" ht="15.75" thickBot="1">
      <c r="B32" s="42" t="s">
        <v>44</v>
      </c>
      <c r="C32" s="85" t="s">
        <v>36</v>
      </c>
      <c r="D32" s="377"/>
      <c r="E32" s="86">
        <f t="shared" si="0"/>
        <v>0</v>
      </c>
      <c r="F32" s="87">
        <f t="shared" si="3"/>
        <v>0</v>
      </c>
      <c r="G32" s="87">
        <f t="shared" si="1"/>
        <v>0</v>
      </c>
      <c r="H32" s="87">
        <f t="shared" si="2"/>
        <v>0</v>
      </c>
      <c r="I32" s="160"/>
      <c r="J32" s="160"/>
      <c r="K32" s="160"/>
      <c r="L32" s="160"/>
      <c r="M32" s="160"/>
      <c r="P32" s="263">
        <v>6.88</v>
      </c>
      <c r="Q32" s="27">
        <v>0.52</v>
      </c>
      <c r="R32" s="27">
        <v>5.15</v>
      </c>
      <c r="S32" s="32">
        <v>70</v>
      </c>
    </row>
    <row r="33" spans="2:19">
      <c r="B33" s="19" t="s">
        <v>50</v>
      </c>
      <c r="C33" s="44" t="s">
        <v>28</v>
      </c>
      <c r="D33" s="375"/>
      <c r="E33" s="52">
        <f t="shared" si="0"/>
        <v>0</v>
      </c>
      <c r="F33" s="51">
        <f t="shared" si="3"/>
        <v>0</v>
      </c>
      <c r="G33" s="51">
        <f t="shared" si="1"/>
        <v>0</v>
      </c>
      <c r="H33" s="51">
        <f t="shared" si="2"/>
        <v>0</v>
      </c>
      <c r="I33" s="160"/>
      <c r="J33" s="160"/>
      <c r="K33" s="160"/>
      <c r="L33" s="160"/>
      <c r="M33" s="160"/>
      <c r="P33" s="262">
        <v>1.85826771464</v>
      </c>
      <c r="Q33" s="25">
        <v>0.24</v>
      </c>
      <c r="R33" s="25">
        <v>3.29</v>
      </c>
      <c r="S33" s="31">
        <v>97</v>
      </c>
    </row>
    <row r="34" spans="2:19">
      <c r="B34" s="19" t="s">
        <v>50</v>
      </c>
      <c r="C34" s="18" t="s">
        <v>32</v>
      </c>
      <c r="D34" s="376"/>
      <c r="E34" s="52">
        <f t="shared" si="0"/>
        <v>0</v>
      </c>
      <c r="F34" s="51">
        <f t="shared" si="3"/>
        <v>0</v>
      </c>
      <c r="G34" s="51">
        <f t="shared" si="1"/>
        <v>0</v>
      </c>
      <c r="H34" s="51">
        <f t="shared" si="2"/>
        <v>0</v>
      </c>
      <c r="I34" s="160"/>
      <c r="J34" s="160"/>
      <c r="K34" s="160"/>
      <c r="L34" s="160"/>
      <c r="M34" s="160"/>
      <c r="P34" s="262">
        <v>4.3499999999999996</v>
      </c>
      <c r="Q34" s="25">
        <v>0.24</v>
      </c>
      <c r="R34" s="25">
        <v>3.29</v>
      </c>
      <c r="S34" s="31">
        <v>97</v>
      </c>
    </row>
    <row r="35" spans="2:19">
      <c r="B35" s="19" t="s">
        <v>50</v>
      </c>
      <c r="C35" s="18" t="s">
        <v>33</v>
      </c>
      <c r="D35" s="376"/>
      <c r="E35" s="52">
        <f t="shared" si="0"/>
        <v>0</v>
      </c>
      <c r="F35" s="51">
        <f t="shared" si="3"/>
        <v>0</v>
      </c>
      <c r="G35" s="51">
        <f t="shared" si="1"/>
        <v>0</v>
      </c>
      <c r="H35" s="51">
        <f t="shared" si="2"/>
        <v>0</v>
      </c>
      <c r="I35" s="160"/>
      <c r="J35" s="160"/>
      <c r="K35" s="160"/>
      <c r="L35" s="160"/>
      <c r="M35" s="160"/>
      <c r="P35" s="262">
        <v>7.5511810946599995</v>
      </c>
      <c r="Q35" s="25">
        <v>0.24</v>
      </c>
      <c r="R35" s="25">
        <v>3.29</v>
      </c>
      <c r="S35" s="31">
        <v>97</v>
      </c>
    </row>
    <row r="36" spans="2:19" ht="15.75" thickBot="1">
      <c r="B36" s="42" t="s">
        <v>50</v>
      </c>
      <c r="C36" s="85" t="s">
        <v>36</v>
      </c>
      <c r="D36" s="377"/>
      <c r="E36" s="86">
        <f t="shared" si="0"/>
        <v>0</v>
      </c>
      <c r="F36" s="87">
        <f t="shared" si="3"/>
        <v>0</v>
      </c>
      <c r="G36" s="87">
        <f t="shared" si="1"/>
        <v>0</v>
      </c>
      <c r="H36" s="87">
        <f t="shared" si="2"/>
        <v>0</v>
      </c>
      <c r="I36" s="160"/>
      <c r="J36" s="160"/>
      <c r="K36" s="160"/>
      <c r="L36" s="160"/>
      <c r="M36" s="160"/>
      <c r="P36" s="262">
        <v>9.5500000000000007</v>
      </c>
      <c r="Q36" s="25">
        <v>0.24</v>
      </c>
      <c r="R36" s="25">
        <v>3.29</v>
      </c>
      <c r="S36" s="31">
        <v>97</v>
      </c>
    </row>
    <row r="37" spans="2:19">
      <c r="B37" s="19" t="s">
        <v>17</v>
      </c>
      <c r="C37" s="44" t="s">
        <v>28</v>
      </c>
      <c r="D37" s="375"/>
      <c r="E37" s="52">
        <f t="shared" si="0"/>
        <v>0</v>
      </c>
      <c r="F37" s="51">
        <f t="shared" si="3"/>
        <v>0</v>
      </c>
      <c r="G37" s="51">
        <f t="shared" si="1"/>
        <v>0</v>
      </c>
      <c r="H37" s="51">
        <f t="shared" si="2"/>
        <v>0</v>
      </c>
      <c r="I37" s="160"/>
      <c r="J37" s="160"/>
      <c r="K37" s="160"/>
      <c r="L37" s="160"/>
      <c r="M37" s="160"/>
      <c r="P37" s="264">
        <v>8.41</v>
      </c>
      <c r="Q37" s="23">
        <v>0.33</v>
      </c>
      <c r="R37" s="23">
        <v>2.97</v>
      </c>
      <c r="S37" s="30">
        <v>77</v>
      </c>
    </row>
    <row r="38" spans="2:19">
      <c r="B38" s="19" t="s">
        <v>17</v>
      </c>
      <c r="C38" s="18" t="s">
        <v>32</v>
      </c>
      <c r="D38" s="376"/>
      <c r="E38" s="52">
        <f t="shared" si="0"/>
        <v>0</v>
      </c>
      <c r="F38" s="51">
        <f t="shared" si="3"/>
        <v>0</v>
      </c>
      <c r="G38" s="51">
        <f t="shared" si="1"/>
        <v>0</v>
      </c>
      <c r="H38" s="51">
        <f t="shared" si="2"/>
        <v>0</v>
      </c>
      <c r="I38" s="160"/>
      <c r="J38" s="160"/>
      <c r="K38" s="160"/>
      <c r="L38" s="160"/>
      <c r="M38" s="160"/>
      <c r="P38" s="262">
        <v>11.58</v>
      </c>
      <c r="Q38" s="25">
        <v>0.33</v>
      </c>
      <c r="R38" s="25">
        <v>2.97</v>
      </c>
      <c r="S38" s="31">
        <v>77</v>
      </c>
    </row>
    <row r="39" spans="2:19">
      <c r="B39" s="19" t="s">
        <v>17</v>
      </c>
      <c r="C39" s="18" t="s">
        <v>33</v>
      </c>
      <c r="D39" s="376"/>
      <c r="E39" s="52">
        <f t="shared" si="0"/>
        <v>0</v>
      </c>
      <c r="F39" s="51">
        <f t="shared" si="3"/>
        <v>0</v>
      </c>
      <c r="G39" s="51">
        <f t="shared" si="1"/>
        <v>0</v>
      </c>
      <c r="H39" s="51">
        <f t="shared" si="2"/>
        <v>0</v>
      </c>
      <c r="I39" s="160"/>
      <c r="J39" s="160"/>
      <c r="K39" s="160"/>
      <c r="L39" s="160"/>
      <c r="M39" s="160"/>
      <c r="P39" s="262">
        <v>14.61</v>
      </c>
      <c r="Q39" s="25">
        <v>0.33</v>
      </c>
      <c r="R39" s="25">
        <v>2.97</v>
      </c>
      <c r="S39" s="31">
        <v>77</v>
      </c>
    </row>
    <row r="40" spans="2:19" ht="15.75" thickBot="1">
      <c r="B40" s="42" t="s">
        <v>17</v>
      </c>
      <c r="C40" s="85" t="s">
        <v>36</v>
      </c>
      <c r="D40" s="377"/>
      <c r="E40" s="86">
        <f t="shared" si="0"/>
        <v>0</v>
      </c>
      <c r="F40" s="87">
        <f t="shared" si="3"/>
        <v>0</v>
      </c>
      <c r="G40" s="87">
        <f t="shared" si="1"/>
        <v>0</v>
      </c>
      <c r="H40" s="87">
        <f t="shared" si="2"/>
        <v>0</v>
      </c>
      <c r="I40" s="160"/>
      <c r="J40" s="160"/>
      <c r="K40" s="160"/>
      <c r="L40" s="160"/>
      <c r="M40" s="160"/>
      <c r="P40" s="263">
        <v>16.55</v>
      </c>
      <c r="Q40" s="27">
        <v>0.33</v>
      </c>
      <c r="R40" s="27">
        <v>2.97</v>
      </c>
      <c r="S40" s="32">
        <v>77</v>
      </c>
    </row>
    <row r="41" spans="2:19">
      <c r="B41" s="19" t="s">
        <v>42</v>
      </c>
      <c r="C41" s="44" t="s">
        <v>28</v>
      </c>
      <c r="D41" s="375"/>
      <c r="E41" s="52">
        <f t="shared" si="0"/>
        <v>0</v>
      </c>
      <c r="F41" s="51">
        <f t="shared" si="3"/>
        <v>0</v>
      </c>
      <c r="G41" s="51">
        <f t="shared" si="1"/>
        <v>0</v>
      </c>
      <c r="H41" s="51">
        <f t="shared" si="2"/>
        <v>0</v>
      </c>
      <c r="I41" s="160"/>
      <c r="J41" s="160"/>
      <c r="K41" s="160"/>
      <c r="L41" s="160"/>
      <c r="M41" s="160"/>
      <c r="P41" s="262">
        <v>3.89</v>
      </c>
      <c r="Q41" s="25">
        <v>0.32</v>
      </c>
      <c r="R41" s="25">
        <v>3.97</v>
      </c>
      <c r="S41" s="31">
        <v>149</v>
      </c>
    </row>
    <row r="42" spans="2:19">
      <c r="B42" s="19" t="s">
        <v>42</v>
      </c>
      <c r="C42" s="18" t="s">
        <v>32</v>
      </c>
      <c r="D42" s="376"/>
      <c r="E42" s="52">
        <f t="shared" si="0"/>
        <v>0</v>
      </c>
      <c r="F42" s="51">
        <f t="shared" si="3"/>
        <v>0</v>
      </c>
      <c r="G42" s="51">
        <f t="shared" si="1"/>
        <v>0</v>
      </c>
      <c r="H42" s="51">
        <f t="shared" si="2"/>
        <v>0</v>
      </c>
      <c r="I42" s="160"/>
      <c r="J42" s="160"/>
      <c r="K42" s="160"/>
      <c r="L42" s="160"/>
      <c r="M42" s="160"/>
      <c r="P42" s="265">
        <v>7.6</v>
      </c>
      <c r="Q42" s="25">
        <v>0.32</v>
      </c>
      <c r="R42" s="25">
        <v>3.97</v>
      </c>
      <c r="S42" s="31">
        <v>149</v>
      </c>
    </row>
    <row r="43" spans="2:19">
      <c r="B43" s="19" t="s">
        <v>42</v>
      </c>
      <c r="C43" s="18" t="s">
        <v>33</v>
      </c>
      <c r="D43" s="376"/>
      <c r="E43" s="52">
        <f t="shared" si="0"/>
        <v>0</v>
      </c>
      <c r="F43" s="51">
        <f t="shared" si="3"/>
        <v>0</v>
      </c>
      <c r="G43" s="51">
        <f t="shared" si="1"/>
        <v>0</v>
      </c>
      <c r="H43" s="51">
        <f t="shared" si="2"/>
        <v>0</v>
      </c>
      <c r="I43" s="160"/>
      <c r="J43" s="160"/>
      <c r="K43" s="160"/>
      <c r="L43" s="160"/>
      <c r="M43" s="160"/>
      <c r="P43" s="262">
        <v>10.38</v>
      </c>
      <c r="Q43" s="25">
        <v>0.32</v>
      </c>
      <c r="R43" s="25">
        <v>3.97</v>
      </c>
      <c r="S43" s="31">
        <v>149</v>
      </c>
    </row>
    <row r="44" spans="2:19" ht="15.75" thickBot="1">
      <c r="B44" s="37" t="s">
        <v>42</v>
      </c>
      <c r="C44" s="85" t="s">
        <v>36</v>
      </c>
      <c r="D44" s="377"/>
      <c r="E44" s="86">
        <f t="shared" si="0"/>
        <v>0</v>
      </c>
      <c r="F44" s="87">
        <f t="shared" si="3"/>
        <v>0</v>
      </c>
      <c r="G44" s="87">
        <f t="shared" si="1"/>
        <v>0</v>
      </c>
      <c r="H44" s="87">
        <f t="shared" si="2"/>
        <v>0</v>
      </c>
      <c r="I44" s="160"/>
      <c r="J44" s="160"/>
      <c r="K44" s="160"/>
      <c r="L44" s="160"/>
      <c r="M44" s="160"/>
      <c r="P44" s="266">
        <v>12.97</v>
      </c>
      <c r="Q44" s="34">
        <v>0.32</v>
      </c>
      <c r="R44" s="34">
        <v>3.97</v>
      </c>
      <c r="S44" s="35">
        <v>149</v>
      </c>
    </row>
    <row r="45" spans="2:19">
      <c r="B45" s="39" t="s">
        <v>168</v>
      </c>
      <c r="C45" s="88" t="s">
        <v>28</v>
      </c>
      <c r="D45" s="375"/>
      <c r="E45" s="52">
        <f t="shared" ref="E45:E64" si="4">D45*P45*0.0833</f>
        <v>0</v>
      </c>
      <c r="F45" s="51">
        <f t="shared" si="3"/>
        <v>0</v>
      </c>
      <c r="G45" s="51">
        <f t="shared" ref="G45:G64" si="5">$D45*$P45*R45*0.2266</f>
        <v>0</v>
      </c>
      <c r="H45" s="51">
        <f t="shared" ref="H45:H64" si="6">$D45*$P45*S45*0.2266</f>
        <v>0</v>
      </c>
      <c r="I45" s="160"/>
      <c r="J45" s="160"/>
      <c r="K45" s="160"/>
      <c r="L45" s="160"/>
      <c r="M45" s="160"/>
      <c r="P45" s="262">
        <v>8.41</v>
      </c>
      <c r="Q45" s="25">
        <v>0.43</v>
      </c>
      <c r="R45" s="25">
        <v>2.65</v>
      </c>
      <c r="S45" s="31">
        <v>141</v>
      </c>
    </row>
    <row r="46" spans="2:19">
      <c r="B46" s="39" t="s">
        <v>168</v>
      </c>
      <c r="C46" s="41" t="s">
        <v>32</v>
      </c>
      <c r="D46" s="376"/>
      <c r="E46" s="52">
        <f t="shared" si="4"/>
        <v>0</v>
      </c>
      <c r="F46" s="51">
        <f t="shared" ref="F46:F64" si="7">$D46*$P46*Q46*0.2266</f>
        <v>0</v>
      </c>
      <c r="G46" s="51">
        <f t="shared" si="5"/>
        <v>0</v>
      </c>
      <c r="H46" s="51">
        <f t="shared" si="6"/>
        <v>0</v>
      </c>
      <c r="I46" s="160"/>
      <c r="J46" s="160"/>
      <c r="K46" s="160"/>
      <c r="L46" s="160"/>
      <c r="M46" s="160"/>
      <c r="P46" s="262">
        <v>11.58</v>
      </c>
      <c r="Q46" s="25">
        <v>0.43</v>
      </c>
      <c r="R46" s="25">
        <v>2.65</v>
      </c>
      <c r="S46" s="31">
        <v>141</v>
      </c>
    </row>
    <row r="47" spans="2:19">
      <c r="B47" s="39" t="s">
        <v>168</v>
      </c>
      <c r="C47" s="41" t="s">
        <v>33</v>
      </c>
      <c r="D47" s="376"/>
      <c r="E47" s="52">
        <f t="shared" si="4"/>
        <v>0</v>
      </c>
      <c r="F47" s="51">
        <f t="shared" si="7"/>
        <v>0</v>
      </c>
      <c r="G47" s="51">
        <f t="shared" si="5"/>
        <v>0</v>
      </c>
      <c r="H47" s="51">
        <f t="shared" si="6"/>
        <v>0</v>
      </c>
      <c r="I47" s="160"/>
      <c r="J47" s="160"/>
      <c r="K47" s="160"/>
      <c r="L47" s="160"/>
      <c r="M47" s="160"/>
      <c r="P47" s="262">
        <v>14.61</v>
      </c>
      <c r="Q47" s="25">
        <v>0.43</v>
      </c>
      <c r="R47" s="25">
        <v>2.65</v>
      </c>
      <c r="S47" s="31">
        <v>141</v>
      </c>
    </row>
    <row r="48" spans="2:19" ht="15.75" thickBot="1">
      <c r="B48" s="43" t="s">
        <v>168</v>
      </c>
      <c r="C48" s="89" t="s">
        <v>36</v>
      </c>
      <c r="D48" s="377"/>
      <c r="E48" s="86">
        <f t="shared" si="4"/>
        <v>0</v>
      </c>
      <c r="F48" s="87">
        <f t="shared" si="7"/>
        <v>0</v>
      </c>
      <c r="G48" s="87">
        <f t="shared" si="5"/>
        <v>0</v>
      </c>
      <c r="H48" s="87">
        <f t="shared" si="6"/>
        <v>0</v>
      </c>
      <c r="I48" s="160"/>
      <c r="J48" s="160"/>
      <c r="K48" s="160"/>
      <c r="L48" s="160"/>
      <c r="M48" s="160"/>
      <c r="P48" s="262">
        <v>16.55</v>
      </c>
      <c r="Q48" s="25">
        <v>0.43</v>
      </c>
      <c r="R48" s="25">
        <v>2.65</v>
      </c>
      <c r="S48" s="31">
        <v>141</v>
      </c>
    </row>
    <row r="49" spans="2:19">
      <c r="B49" s="39" t="s">
        <v>8</v>
      </c>
      <c r="C49" s="88" t="s">
        <v>28</v>
      </c>
      <c r="D49" s="375"/>
      <c r="E49" s="52">
        <f t="shared" si="4"/>
        <v>0</v>
      </c>
      <c r="F49" s="51">
        <f t="shared" si="7"/>
        <v>0</v>
      </c>
      <c r="G49" s="51">
        <f t="shared" si="5"/>
        <v>0</v>
      </c>
      <c r="H49" s="51">
        <f t="shared" si="6"/>
        <v>0</v>
      </c>
      <c r="I49" s="160"/>
      <c r="J49" s="160"/>
      <c r="K49" s="160"/>
      <c r="L49" s="160"/>
      <c r="M49" s="160"/>
      <c r="P49" s="264">
        <v>0</v>
      </c>
      <c r="Q49" s="23">
        <v>0.11</v>
      </c>
      <c r="R49" s="23">
        <v>1.74</v>
      </c>
      <c r="S49" s="30">
        <v>51</v>
      </c>
    </row>
    <row r="50" spans="2:19">
      <c r="B50" s="39" t="s">
        <v>8</v>
      </c>
      <c r="C50" s="41" t="s">
        <v>32</v>
      </c>
      <c r="D50" s="376"/>
      <c r="E50" s="52">
        <f t="shared" si="4"/>
        <v>0</v>
      </c>
      <c r="F50" s="51">
        <f t="shared" si="7"/>
        <v>0</v>
      </c>
      <c r="G50" s="51">
        <f t="shared" si="5"/>
        <v>0</v>
      </c>
      <c r="H50" s="51">
        <f t="shared" si="6"/>
        <v>0</v>
      </c>
      <c r="I50" s="160"/>
      <c r="J50" s="160"/>
      <c r="K50" s="160"/>
      <c r="L50" s="160"/>
      <c r="M50" s="160"/>
      <c r="P50" s="262">
        <v>0.28999999999999998</v>
      </c>
      <c r="Q50" s="25">
        <v>0.11</v>
      </c>
      <c r="R50" s="25">
        <v>1.74</v>
      </c>
      <c r="S50" s="31">
        <v>51</v>
      </c>
    </row>
    <row r="51" spans="2:19">
      <c r="B51" s="39" t="s">
        <v>8</v>
      </c>
      <c r="C51" s="41" t="s">
        <v>33</v>
      </c>
      <c r="D51" s="376"/>
      <c r="E51" s="52">
        <f t="shared" si="4"/>
        <v>0</v>
      </c>
      <c r="F51" s="51">
        <f t="shared" si="7"/>
        <v>0</v>
      </c>
      <c r="G51" s="51">
        <f t="shared" si="5"/>
        <v>0</v>
      </c>
      <c r="H51" s="51">
        <f t="shared" si="6"/>
        <v>0</v>
      </c>
      <c r="I51" s="160"/>
      <c r="J51" s="160"/>
      <c r="K51" s="160"/>
      <c r="L51" s="160"/>
      <c r="M51" s="160"/>
      <c r="P51" s="262">
        <v>1.39</v>
      </c>
      <c r="Q51" s="25">
        <v>0.11</v>
      </c>
      <c r="R51" s="25">
        <v>1.74</v>
      </c>
      <c r="S51" s="31">
        <v>51</v>
      </c>
    </row>
    <row r="52" spans="2:19" ht="15.75" thickBot="1">
      <c r="B52" s="43" t="s">
        <v>8</v>
      </c>
      <c r="C52" s="89" t="s">
        <v>36</v>
      </c>
      <c r="D52" s="377"/>
      <c r="E52" s="86">
        <f t="shared" si="4"/>
        <v>0</v>
      </c>
      <c r="F52" s="87">
        <f t="shared" si="7"/>
        <v>0</v>
      </c>
      <c r="G52" s="87">
        <f t="shared" si="5"/>
        <v>0</v>
      </c>
      <c r="H52" s="87">
        <f t="shared" si="6"/>
        <v>0</v>
      </c>
      <c r="I52" s="160"/>
      <c r="J52" s="160"/>
      <c r="K52" s="160"/>
      <c r="L52" s="160"/>
      <c r="M52" s="160"/>
      <c r="P52" s="263">
        <v>2.68</v>
      </c>
      <c r="Q52" s="27">
        <v>0.11</v>
      </c>
      <c r="R52" s="27">
        <v>1.74</v>
      </c>
      <c r="S52" s="32">
        <v>51</v>
      </c>
    </row>
    <row r="53" spans="2:19">
      <c r="B53" s="39" t="s">
        <v>38</v>
      </c>
      <c r="C53" s="88" t="s">
        <v>28</v>
      </c>
      <c r="D53" s="375"/>
      <c r="E53" s="52">
        <f t="shared" si="4"/>
        <v>0</v>
      </c>
      <c r="F53" s="51">
        <f t="shared" si="7"/>
        <v>0</v>
      </c>
      <c r="G53" s="51">
        <f t="shared" si="5"/>
        <v>0</v>
      </c>
      <c r="H53" s="51">
        <f t="shared" si="6"/>
        <v>0</v>
      </c>
      <c r="I53" s="160"/>
      <c r="J53" s="160"/>
      <c r="K53" s="160"/>
      <c r="L53" s="160"/>
      <c r="M53" s="160"/>
      <c r="P53" s="262">
        <v>0.03</v>
      </c>
      <c r="Q53" s="25">
        <v>0.11</v>
      </c>
      <c r="R53" s="25">
        <v>1.74</v>
      </c>
      <c r="S53" s="31">
        <v>51</v>
      </c>
    </row>
    <row r="54" spans="2:19">
      <c r="B54" s="39" t="s">
        <v>38</v>
      </c>
      <c r="C54" s="41" t="s">
        <v>32</v>
      </c>
      <c r="D54" s="376"/>
      <c r="E54" s="52">
        <f t="shared" si="4"/>
        <v>0</v>
      </c>
      <c r="F54" s="51">
        <f t="shared" si="7"/>
        <v>0</v>
      </c>
      <c r="G54" s="51">
        <f t="shared" si="5"/>
        <v>0</v>
      </c>
      <c r="H54" s="51">
        <f t="shared" si="6"/>
        <v>0</v>
      </c>
      <c r="I54" s="160"/>
      <c r="J54" s="160"/>
      <c r="K54" s="160"/>
      <c r="L54" s="160"/>
      <c r="M54" s="160"/>
      <c r="P54" s="262">
        <v>0.56999999999999995</v>
      </c>
      <c r="Q54" s="25">
        <v>0.11</v>
      </c>
      <c r="R54" s="25">
        <v>1.74</v>
      </c>
      <c r="S54" s="31">
        <v>51</v>
      </c>
    </row>
    <row r="55" spans="2:19">
      <c r="B55" s="39" t="s">
        <v>38</v>
      </c>
      <c r="C55" s="41" t="s">
        <v>33</v>
      </c>
      <c r="D55" s="376"/>
      <c r="E55" s="52">
        <f t="shared" si="4"/>
        <v>0</v>
      </c>
      <c r="F55" s="51">
        <f t="shared" si="7"/>
        <v>0</v>
      </c>
      <c r="G55" s="51">
        <f t="shared" si="5"/>
        <v>0</v>
      </c>
      <c r="H55" s="51">
        <f t="shared" si="6"/>
        <v>0</v>
      </c>
      <c r="I55" s="160"/>
      <c r="J55" s="160"/>
      <c r="K55" s="160"/>
      <c r="L55" s="160"/>
      <c r="M55" s="160"/>
      <c r="P55" s="262">
        <v>2.0299999999999998</v>
      </c>
      <c r="Q55" s="25">
        <v>0.11</v>
      </c>
      <c r="R55" s="25">
        <v>1.74</v>
      </c>
      <c r="S55" s="31">
        <v>51</v>
      </c>
    </row>
    <row r="56" spans="2:19" ht="15.75" thickBot="1">
      <c r="B56" s="43" t="s">
        <v>38</v>
      </c>
      <c r="C56" s="89" t="s">
        <v>36</v>
      </c>
      <c r="D56" s="377"/>
      <c r="E56" s="86">
        <f t="shared" si="4"/>
        <v>0</v>
      </c>
      <c r="F56" s="87">
        <f t="shared" si="7"/>
        <v>0</v>
      </c>
      <c r="G56" s="87">
        <f t="shared" si="5"/>
        <v>0</v>
      </c>
      <c r="H56" s="87">
        <f t="shared" si="6"/>
        <v>0</v>
      </c>
      <c r="I56" s="160"/>
      <c r="J56" s="160"/>
      <c r="K56" s="160"/>
      <c r="L56" s="160"/>
      <c r="M56" s="160"/>
      <c r="P56" s="263">
        <v>3.54</v>
      </c>
      <c r="Q56" s="27">
        <v>0.11</v>
      </c>
      <c r="R56" s="27">
        <v>1.74</v>
      </c>
      <c r="S56" s="32">
        <v>51</v>
      </c>
    </row>
    <row r="57" spans="2:19">
      <c r="B57" s="39" t="s">
        <v>16</v>
      </c>
      <c r="C57" s="88" t="s">
        <v>28</v>
      </c>
      <c r="D57" s="375"/>
      <c r="E57" s="52">
        <f t="shared" si="4"/>
        <v>0</v>
      </c>
      <c r="F57" s="51">
        <f t="shared" si="7"/>
        <v>0</v>
      </c>
      <c r="G57" s="51">
        <f t="shared" si="5"/>
        <v>0</v>
      </c>
      <c r="H57" s="51">
        <f t="shared" si="6"/>
        <v>0</v>
      </c>
      <c r="I57" s="160"/>
      <c r="J57" s="160"/>
      <c r="K57" s="160"/>
      <c r="L57" s="160"/>
      <c r="M57" s="160"/>
      <c r="P57" s="262">
        <v>0</v>
      </c>
      <c r="Q57" s="25">
        <v>0.08</v>
      </c>
      <c r="R57" s="25">
        <v>1.38</v>
      </c>
      <c r="S57" s="31">
        <v>6</v>
      </c>
    </row>
    <row r="58" spans="2:19">
      <c r="B58" s="39" t="s">
        <v>16</v>
      </c>
      <c r="C58" s="41" t="s">
        <v>32</v>
      </c>
      <c r="D58" s="376"/>
      <c r="E58" s="52">
        <f t="shared" si="4"/>
        <v>0</v>
      </c>
      <c r="F58" s="51">
        <f t="shared" si="7"/>
        <v>0</v>
      </c>
      <c r="G58" s="51">
        <f t="shared" si="5"/>
        <v>0</v>
      </c>
      <c r="H58" s="51">
        <f t="shared" si="6"/>
        <v>0</v>
      </c>
      <c r="I58" s="160"/>
      <c r="J58" s="160"/>
      <c r="K58" s="160"/>
      <c r="L58" s="160"/>
      <c r="M58" s="160"/>
      <c r="P58" s="262">
        <v>0</v>
      </c>
      <c r="Q58" s="25">
        <v>0.08</v>
      </c>
      <c r="R58" s="25">
        <v>1.38</v>
      </c>
      <c r="S58" s="31">
        <v>6</v>
      </c>
    </row>
    <row r="59" spans="2:19">
      <c r="B59" s="39" t="s">
        <v>16</v>
      </c>
      <c r="C59" s="41" t="s">
        <v>33</v>
      </c>
      <c r="D59" s="376"/>
      <c r="E59" s="52">
        <f t="shared" si="4"/>
        <v>0</v>
      </c>
      <c r="F59" s="51">
        <f t="shared" si="7"/>
        <v>0</v>
      </c>
      <c r="G59" s="51">
        <f t="shared" si="5"/>
        <v>0</v>
      </c>
      <c r="H59" s="51">
        <f t="shared" si="6"/>
        <v>0</v>
      </c>
      <c r="I59" s="160"/>
      <c r="J59" s="160"/>
      <c r="K59" s="160"/>
      <c r="L59" s="160"/>
      <c r="M59" s="160"/>
      <c r="P59" s="262">
        <v>0</v>
      </c>
      <c r="Q59" s="25">
        <v>0.08</v>
      </c>
      <c r="R59" s="25">
        <v>1.38</v>
      </c>
      <c r="S59" s="31">
        <v>6</v>
      </c>
    </row>
    <row r="60" spans="2:19" ht="15.75" thickBot="1">
      <c r="B60" s="43" t="s">
        <v>16</v>
      </c>
      <c r="C60" s="89" t="s">
        <v>36</v>
      </c>
      <c r="D60" s="377"/>
      <c r="E60" s="86">
        <f t="shared" si="4"/>
        <v>0</v>
      </c>
      <c r="F60" s="87">
        <f t="shared" si="7"/>
        <v>0</v>
      </c>
      <c r="G60" s="87">
        <f t="shared" si="5"/>
        <v>0</v>
      </c>
      <c r="H60" s="87">
        <f t="shared" si="6"/>
        <v>0</v>
      </c>
      <c r="I60" s="160"/>
      <c r="J60" s="160"/>
      <c r="K60" s="160"/>
      <c r="L60" s="160"/>
      <c r="M60" s="160"/>
      <c r="P60" s="262">
        <v>0</v>
      </c>
      <c r="Q60" s="25">
        <v>0.08</v>
      </c>
      <c r="R60" s="25">
        <v>1.38</v>
      </c>
      <c r="S60" s="31">
        <v>6</v>
      </c>
    </row>
    <row r="61" spans="2:19">
      <c r="B61" s="39" t="s">
        <v>9</v>
      </c>
      <c r="C61" s="88" t="s">
        <v>28</v>
      </c>
      <c r="D61" s="375"/>
      <c r="E61" s="52">
        <f t="shared" si="4"/>
        <v>0</v>
      </c>
      <c r="F61" s="51">
        <f t="shared" si="7"/>
        <v>0</v>
      </c>
      <c r="G61" s="51">
        <f t="shared" si="5"/>
        <v>0</v>
      </c>
      <c r="H61" s="51">
        <f t="shared" si="6"/>
        <v>0</v>
      </c>
      <c r="I61" s="160"/>
      <c r="J61" s="160"/>
      <c r="K61" s="160"/>
      <c r="L61" s="160"/>
      <c r="M61" s="160"/>
      <c r="P61" s="264">
        <v>0</v>
      </c>
      <c r="Q61" s="23">
        <v>0.08</v>
      </c>
      <c r="R61" s="23">
        <v>1.38</v>
      </c>
      <c r="S61" s="30">
        <v>6</v>
      </c>
    </row>
    <row r="62" spans="2:19">
      <c r="B62" s="39" t="s">
        <v>9</v>
      </c>
      <c r="C62" s="41" t="s">
        <v>32</v>
      </c>
      <c r="D62" s="376"/>
      <c r="E62" s="52">
        <f t="shared" si="4"/>
        <v>0</v>
      </c>
      <c r="F62" s="51">
        <f t="shared" si="7"/>
        <v>0</v>
      </c>
      <c r="G62" s="51">
        <f t="shared" si="5"/>
        <v>0</v>
      </c>
      <c r="H62" s="51">
        <f t="shared" si="6"/>
        <v>0</v>
      </c>
      <c r="I62" s="160"/>
      <c r="J62" s="160"/>
      <c r="K62" s="160"/>
      <c r="L62" s="160"/>
      <c r="M62" s="160"/>
      <c r="P62" s="262">
        <v>0</v>
      </c>
      <c r="Q62" s="25">
        <v>0.08</v>
      </c>
      <c r="R62" s="25">
        <v>1.38</v>
      </c>
      <c r="S62" s="31">
        <v>6</v>
      </c>
    </row>
    <row r="63" spans="2:19">
      <c r="B63" s="39" t="s">
        <v>9</v>
      </c>
      <c r="C63" s="41" t="s">
        <v>33</v>
      </c>
      <c r="D63" s="376"/>
      <c r="E63" s="52">
        <f t="shared" si="4"/>
        <v>0</v>
      </c>
      <c r="F63" s="51">
        <f t="shared" si="7"/>
        <v>0</v>
      </c>
      <c r="G63" s="51">
        <f t="shared" si="5"/>
        <v>0</v>
      </c>
      <c r="H63" s="51">
        <f t="shared" si="6"/>
        <v>0</v>
      </c>
      <c r="I63" s="160"/>
      <c r="J63" s="160"/>
      <c r="K63" s="160"/>
      <c r="L63" s="160"/>
      <c r="M63" s="160"/>
      <c r="P63" s="262">
        <v>0</v>
      </c>
      <c r="Q63" s="25">
        <v>0.08</v>
      </c>
      <c r="R63" s="25">
        <v>1.38</v>
      </c>
      <c r="S63" s="31">
        <v>6</v>
      </c>
    </row>
    <row r="64" spans="2:19" ht="15.75" thickBot="1">
      <c r="B64" s="40" t="s">
        <v>9</v>
      </c>
      <c r="C64" s="89" t="s">
        <v>36</v>
      </c>
      <c r="D64" s="377"/>
      <c r="E64" s="86">
        <f t="shared" si="4"/>
        <v>0</v>
      </c>
      <c r="F64" s="87">
        <f t="shared" si="7"/>
        <v>0</v>
      </c>
      <c r="G64" s="87">
        <f t="shared" si="5"/>
        <v>0</v>
      </c>
      <c r="H64" s="87">
        <f t="shared" si="6"/>
        <v>0</v>
      </c>
      <c r="I64" s="160"/>
      <c r="J64" s="160"/>
      <c r="K64" s="160"/>
      <c r="L64" s="160"/>
      <c r="M64" s="160"/>
      <c r="P64" s="263">
        <v>0</v>
      </c>
      <c r="Q64" s="34">
        <v>0.08</v>
      </c>
      <c r="R64" s="34">
        <v>1.38</v>
      </c>
      <c r="S64" s="35">
        <v>6</v>
      </c>
    </row>
    <row r="65" spans="2:19" ht="15.75" thickBot="1">
      <c r="B65" s="19"/>
      <c r="C65" s="96"/>
      <c r="D65" s="19"/>
      <c r="E65" s="19"/>
      <c r="F65" s="19"/>
      <c r="G65" s="19"/>
      <c r="H65" s="19"/>
      <c r="I65" s="19"/>
      <c r="J65" s="19"/>
      <c r="K65" s="19"/>
      <c r="L65" s="19"/>
      <c r="M65" s="19"/>
      <c r="N65" s="19"/>
      <c r="P65" s="24"/>
      <c r="Q65" s="25"/>
      <c r="R65" s="25"/>
      <c r="S65" s="25"/>
    </row>
    <row r="66" spans="2:19" ht="32.25" thickBot="1">
      <c r="B66" s="19"/>
      <c r="C66" s="96"/>
      <c r="D66" s="164" t="s">
        <v>69</v>
      </c>
      <c r="E66" s="166" t="s">
        <v>7</v>
      </c>
      <c r="F66" s="167" t="s">
        <v>6</v>
      </c>
      <c r="G66" s="167" t="s">
        <v>71</v>
      </c>
      <c r="H66" s="167" t="s">
        <v>72</v>
      </c>
      <c r="J66" s="19"/>
      <c r="K66" s="19"/>
      <c r="L66" s="19"/>
      <c r="M66" s="19"/>
      <c r="N66" s="19"/>
      <c r="P66" s="24"/>
      <c r="Q66" s="25"/>
      <c r="R66" s="25"/>
      <c r="S66" s="25"/>
    </row>
    <row r="67" spans="2:19" ht="16.5" thickBot="1">
      <c r="B67" s="308" t="s">
        <v>129</v>
      </c>
      <c r="C67" s="309"/>
      <c r="D67" s="224">
        <f>SUM(D13:D64)</f>
        <v>0</v>
      </c>
      <c r="E67" s="165">
        <f t="shared" ref="E67:H67" si="8">SUM(E13:E64)</f>
        <v>0</v>
      </c>
      <c r="F67" s="257">
        <f t="shared" si="8"/>
        <v>0</v>
      </c>
      <c r="G67" s="257">
        <f t="shared" si="8"/>
        <v>0</v>
      </c>
      <c r="H67" s="225">
        <f t="shared" si="8"/>
        <v>0</v>
      </c>
      <c r="I67" s="161"/>
      <c r="J67" s="161"/>
      <c r="K67" s="161"/>
      <c r="L67" s="161"/>
      <c r="M67" s="161"/>
      <c r="N67" s="19"/>
      <c r="P67" s="24"/>
      <c r="Q67" s="25"/>
      <c r="R67" s="25"/>
      <c r="S67" s="25"/>
    </row>
    <row r="68" spans="2:19" ht="13.5" customHeight="1"/>
    <row r="71" spans="2:19">
      <c r="B71" s="5"/>
    </row>
    <row r="85" spans="1:3" hidden="1"/>
    <row r="86" spans="1:3" hidden="1">
      <c r="A86" s="7" t="s">
        <v>20</v>
      </c>
      <c r="C86" s="2" t="s">
        <v>28</v>
      </c>
    </row>
    <row r="87" spans="1:3" hidden="1">
      <c r="A87" s="7" t="s">
        <v>21</v>
      </c>
      <c r="C87" s="2" t="s">
        <v>32</v>
      </c>
    </row>
    <row r="88" spans="1:3" hidden="1">
      <c r="A88" s="8" t="s">
        <v>22</v>
      </c>
      <c r="C88" s="2" t="s">
        <v>33</v>
      </c>
    </row>
    <row r="89" spans="1:3" hidden="1">
      <c r="A89" s="9" t="s">
        <v>11</v>
      </c>
      <c r="C89" s="2" t="s">
        <v>36</v>
      </c>
    </row>
    <row r="90" spans="1:3" hidden="1">
      <c r="A90" s="10" t="s">
        <v>23</v>
      </c>
    </row>
    <row r="91" spans="1:3" hidden="1"/>
  </sheetData>
  <sheetProtection password="AFF9" sheet="1" objects="1" scenarios="1"/>
  <mergeCells count="3">
    <mergeCell ref="B67:C67"/>
    <mergeCell ref="B6:G6"/>
    <mergeCell ref="J4:M4"/>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dimension ref="A1:T71"/>
  <sheetViews>
    <sheetView topLeftCell="A31" workbookViewId="0">
      <selection activeCell="D15" sqref="D15"/>
    </sheetView>
  </sheetViews>
  <sheetFormatPr defaultRowHeight="15"/>
  <cols>
    <col min="2" max="2" width="36.42578125" bestFit="1" customWidth="1"/>
    <col min="3" max="3" width="11.140625" customWidth="1"/>
    <col min="4" max="4" width="12" customWidth="1"/>
    <col min="5" max="5" width="16.140625" customWidth="1"/>
    <col min="6" max="6" width="12.5703125" customWidth="1"/>
    <col min="7" max="7" width="12.85546875" customWidth="1"/>
    <col min="8" max="8" width="12.140625" customWidth="1"/>
    <col min="10" max="10" width="16.140625" customWidth="1"/>
    <col min="13" max="13" width="11.85546875" bestFit="1" customWidth="1"/>
    <col min="15" max="18" width="9.140625" hidden="1" customWidth="1"/>
    <col min="19" max="19" width="9.140625" customWidth="1"/>
  </cols>
  <sheetData>
    <row r="1" spans="1:20">
      <c r="A1" s="2"/>
      <c r="B1" s="2"/>
      <c r="C1" s="2"/>
      <c r="D1" s="2"/>
      <c r="E1" s="2"/>
      <c r="F1" s="2"/>
      <c r="G1" s="2"/>
      <c r="H1" s="2"/>
      <c r="I1" s="2"/>
      <c r="J1" s="2"/>
      <c r="K1" s="2"/>
      <c r="L1" s="2"/>
      <c r="M1" s="2"/>
      <c r="N1" s="2"/>
      <c r="O1" s="2"/>
      <c r="P1" s="2"/>
      <c r="Q1" s="2"/>
      <c r="R1" s="2"/>
      <c r="S1" s="2"/>
      <c r="T1" s="2"/>
    </row>
    <row r="2" spans="1:20" ht="18">
      <c r="A2" s="2"/>
      <c r="B2" s="21" t="s">
        <v>172</v>
      </c>
      <c r="C2" s="2"/>
      <c r="D2" s="2"/>
      <c r="E2" s="2"/>
      <c r="F2" s="2"/>
      <c r="G2" s="2"/>
      <c r="H2" s="2"/>
      <c r="I2" s="2"/>
      <c r="J2" s="2"/>
      <c r="K2" s="2"/>
      <c r="L2" s="2"/>
      <c r="M2" s="2"/>
      <c r="N2" s="2"/>
      <c r="O2" s="2"/>
      <c r="P2" s="2"/>
      <c r="Q2" s="2"/>
      <c r="R2" s="2"/>
      <c r="S2" s="2"/>
      <c r="T2" s="2"/>
    </row>
    <row r="3" spans="1:20">
      <c r="A3" s="2"/>
      <c r="B3" s="2"/>
      <c r="C3" s="2"/>
      <c r="D3" s="2"/>
      <c r="E3" s="2"/>
      <c r="F3" s="2"/>
      <c r="G3" s="2"/>
      <c r="H3" s="2"/>
      <c r="I3" s="2"/>
      <c r="J3" s="2"/>
      <c r="K3" s="2"/>
      <c r="L3" s="2"/>
      <c r="M3" s="2"/>
      <c r="N3" s="2"/>
      <c r="O3" s="2"/>
      <c r="P3" s="2"/>
      <c r="Q3" s="2"/>
      <c r="R3" s="2"/>
      <c r="S3" s="2"/>
      <c r="T3" s="2"/>
    </row>
    <row r="4" spans="1:20" ht="15.75" thickBot="1">
      <c r="A4" s="1"/>
      <c r="B4" s="14"/>
      <c r="C4" s="15"/>
      <c r="D4" s="16"/>
      <c r="E4" s="17"/>
      <c r="F4" s="17"/>
      <c r="G4" s="17"/>
      <c r="H4" s="17"/>
      <c r="I4" s="2"/>
      <c r="J4" s="2"/>
      <c r="K4" s="2"/>
      <c r="L4" s="2"/>
      <c r="M4" s="2"/>
      <c r="N4" s="2"/>
      <c r="O4" s="2"/>
      <c r="P4" s="60"/>
      <c r="Q4" s="2"/>
      <c r="R4" s="2"/>
      <c r="S4" s="2"/>
      <c r="T4" s="2"/>
    </row>
    <row r="5" spans="1:20" ht="17.25" thickTop="1" thickBot="1">
      <c r="A5" s="65" t="s">
        <v>30</v>
      </c>
      <c r="B5" s="66" t="s">
        <v>40</v>
      </c>
      <c r="C5" s="61"/>
      <c r="D5" s="62"/>
      <c r="E5" s="63"/>
      <c r="F5" s="17"/>
      <c r="G5" s="17"/>
      <c r="H5" s="17"/>
      <c r="I5" s="2"/>
      <c r="J5" s="311" t="s">
        <v>155</v>
      </c>
      <c r="K5" s="312"/>
      <c r="L5" s="312"/>
      <c r="M5" s="313"/>
      <c r="N5" s="2"/>
      <c r="O5" s="2"/>
      <c r="P5" s="2"/>
      <c r="Q5" s="2"/>
      <c r="R5" s="2"/>
      <c r="S5" s="2"/>
      <c r="T5" s="2"/>
    </row>
    <row r="6" spans="1:20" ht="54" customHeight="1" thickTop="1" thickBot="1">
      <c r="A6" s="58"/>
      <c r="B6" s="59"/>
      <c r="C6" s="15"/>
      <c r="D6" s="16"/>
      <c r="E6" s="17"/>
      <c r="F6" s="64"/>
      <c r="G6" s="17"/>
      <c r="H6" s="17"/>
      <c r="I6" s="2"/>
      <c r="J6" s="171" t="s">
        <v>7</v>
      </c>
      <c r="K6" s="167" t="s">
        <v>6</v>
      </c>
      <c r="L6" s="167" t="s">
        <v>71</v>
      </c>
      <c r="M6" s="166" t="s">
        <v>72</v>
      </c>
      <c r="N6" s="2"/>
      <c r="O6" s="2"/>
      <c r="P6" s="2"/>
      <c r="Q6" s="2"/>
      <c r="R6" s="2"/>
      <c r="S6" s="2"/>
      <c r="T6" s="2"/>
    </row>
    <row r="7" spans="1:20" ht="16.5" thickBot="1">
      <c r="A7" s="72">
        <v>2</v>
      </c>
      <c r="B7" s="314" t="s">
        <v>77</v>
      </c>
      <c r="C7" s="315"/>
      <c r="D7" s="315"/>
      <c r="E7" s="315"/>
      <c r="F7" s="315"/>
      <c r="G7" s="315"/>
      <c r="H7" s="315"/>
      <c r="I7" s="315"/>
      <c r="J7" s="216">
        <f>E69</f>
        <v>0</v>
      </c>
      <c r="K7" s="217">
        <f>F69</f>
        <v>0</v>
      </c>
      <c r="L7" s="217">
        <f>G69</f>
        <v>0</v>
      </c>
      <c r="M7" s="218">
        <f>H69</f>
        <v>0</v>
      </c>
      <c r="N7" s="2"/>
      <c r="O7" s="2"/>
      <c r="P7" s="2"/>
      <c r="Q7" s="2"/>
      <c r="R7" s="2"/>
      <c r="S7" s="2"/>
      <c r="T7" s="2"/>
    </row>
    <row r="8" spans="1:20">
      <c r="A8" s="1"/>
      <c r="B8" s="2" t="s">
        <v>118</v>
      </c>
      <c r="C8" s="2"/>
      <c r="D8" s="2"/>
      <c r="E8" s="2"/>
      <c r="F8" s="2"/>
      <c r="G8" s="2"/>
      <c r="H8" s="2"/>
      <c r="I8" s="2"/>
      <c r="J8" s="2"/>
      <c r="K8" s="2"/>
      <c r="L8" s="2"/>
      <c r="M8" s="2"/>
      <c r="N8" s="2"/>
      <c r="O8" s="2"/>
      <c r="P8" s="2"/>
      <c r="Q8" s="2"/>
      <c r="R8" s="2"/>
      <c r="S8" s="2"/>
      <c r="T8" s="2"/>
    </row>
    <row r="9" spans="1:20">
      <c r="A9" s="1"/>
      <c r="B9" s="4" t="s">
        <v>119</v>
      </c>
      <c r="C9" s="2"/>
      <c r="D9" s="2"/>
      <c r="E9" s="2"/>
      <c r="F9" s="2"/>
      <c r="G9" s="2"/>
      <c r="H9" s="2"/>
      <c r="I9" s="2"/>
      <c r="J9" s="2"/>
      <c r="K9" s="2"/>
      <c r="L9" s="2"/>
      <c r="M9" s="2"/>
      <c r="N9" s="2"/>
      <c r="O9" s="2"/>
      <c r="P9" s="2"/>
      <c r="Q9" s="2"/>
      <c r="R9" s="2"/>
      <c r="S9" s="2"/>
      <c r="T9" s="2"/>
    </row>
    <row r="10" spans="1:20" ht="15.75">
      <c r="A10" s="58"/>
      <c r="B10" s="4"/>
      <c r="C10" s="2"/>
      <c r="D10" s="2"/>
      <c r="E10" s="2"/>
      <c r="F10" s="2"/>
      <c r="G10" s="2"/>
      <c r="H10" s="2"/>
      <c r="I10" s="2"/>
      <c r="J10" s="2"/>
      <c r="K10" s="2"/>
      <c r="L10" s="2"/>
      <c r="M10" s="2"/>
      <c r="N10" s="2"/>
      <c r="O10" s="2"/>
      <c r="P10" s="2"/>
      <c r="Q10" s="2"/>
      <c r="R10" s="2"/>
      <c r="S10" s="2"/>
      <c r="T10" s="2"/>
    </row>
    <row r="11" spans="1:20">
      <c r="A11" s="14"/>
      <c r="B11" s="92" t="s">
        <v>91</v>
      </c>
      <c r="C11" s="15"/>
      <c r="D11" s="16"/>
      <c r="E11" s="17"/>
      <c r="F11" s="17"/>
      <c r="G11" s="17"/>
      <c r="H11" s="17"/>
      <c r="I11" s="2"/>
      <c r="J11" s="2"/>
      <c r="K11" s="2"/>
      <c r="L11" s="2"/>
      <c r="M11" s="2"/>
      <c r="N11" s="2"/>
      <c r="O11" s="2"/>
      <c r="P11" s="2"/>
      <c r="Q11" s="2"/>
      <c r="R11" s="2"/>
      <c r="S11" s="2"/>
      <c r="T11" s="2"/>
    </row>
    <row r="12" spans="1:20">
      <c r="A12" s="2"/>
      <c r="B12" s="15"/>
      <c r="C12" s="16"/>
      <c r="D12" s="16"/>
      <c r="E12" s="17"/>
      <c r="F12" s="17"/>
      <c r="G12" s="17"/>
      <c r="H12" s="17"/>
      <c r="I12" s="2"/>
      <c r="J12" s="2"/>
      <c r="K12" s="2"/>
      <c r="L12" s="2"/>
      <c r="M12" s="2"/>
      <c r="N12" s="2"/>
      <c r="O12" s="2"/>
      <c r="P12" s="2"/>
      <c r="Q12" s="2"/>
      <c r="R12" s="2"/>
      <c r="S12" s="2"/>
      <c r="T12" s="2"/>
    </row>
    <row r="13" spans="1:20" ht="15.75" thickBot="1">
      <c r="A13" s="2"/>
      <c r="B13" s="20" t="s">
        <v>48</v>
      </c>
      <c r="C13" s="2"/>
      <c r="D13" s="2"/>
      <c r="E13" s="2"/>
      <c r="F13" s="2"/>
      <c r="G13" s="2"/>
      <c r="H13" s="2"/>
      <c r="I13" s="2"/>
      <c r="J13" s="2"/>
      <c r="K13" s="2"/>
      <c r="L13" s="2"/>
      <c r="M13" s="2"/>
      <c r="N13" s="2"/>
      <c r="O13" s="28" t="s">
        <v>46</v>
      </c>
      <c r="P13" s="53" t="s">
        <v>12</v>
      </c>
      <c r="Q13" s="53" t="s">
        <v>55</v>
      </c>
      <c r="R13" s="54" t="s">
        <v>13</v>
      </c>
      <c r="S13" s="2"/>
      <c r="T13" s="2"/>
    </row>
    <row r="14" spans="1:20" ht="30.75" thickBot="1">
      <c r="A14" s="2"/>
      <c r="B14" s="71" t="s">
        <v>52</v>
      </c>
      <c r="C14" s="48" t="s">
        <v>39</v>
      </c>
      <c r="D14" s="49" t="s">
        <v>69</v>
      </c>
      <c r="E14" s="46" t="s">
        <v>7</v>
      </c>
      <c r="F14" s="45" t="s">
        <v>74</v>
      </c>
      <c r="G14" s="45" t="s">
        <v>73</v>
      </c>
      <c r="H14" s="45" t="s">
        <v>72</v>
      </c>
      <c r="I14" s="2"/>
      <c r="J14" s="2"/>
      <c r="K14" s="2"/>
      <c r="L14" s="2"/>
      <c r="M14" s="2"/>
      <c r="N14" s="2"/>
      <c r="O14" s="262">
        <f>12.5%*O26+87.5%*0.78</f>
        <v>0.71499999999999997</v>
      </c>
      <c r="P14" s="24">
        <v>0.39</v>
      </c>
      <c r="Q14" s="24">
        <v>5.88</v>
      </c>
      <c r="R14" s="55">
        <v>136</v>
      </c>
      <c r="S14" s="2"/>
      <c r="T14" s="2"/>
    </row>
    <row r="15" spans="1:20">
      <c r="A15" s="2"/>
      <c r="B15" s="19" t="s">
        <v>51</v>
      </c>
      <c r="C15" s="44" t="s">
        <v>28</v>
      </c>
      <c r="D15" s="375"/>
      <c r="E15" s="52">
        <f t="shared" ref="E15:E46" si="0">D15*O14*0.0833</f>
        <v>0</v>
      </c>
      <c r="F15" s="51">
        <f t="shared" ref="F15:F46" si="1">$D15*$O14*$P14*0.2266</f>
        <v>0</v>
      </c>
      <c r="G15" s="51">
        <f t="shared" ref="G15:G46" si="2">$D15*$O14*$Q14*0.2266</f>
        <v>0</v>
      </c>
      <c r="H15" s="51">
        <f t="shared" ref="H15:H46" si="3">$D15*$O14*$R14*0.2266</f>
        <v>0</v>
      </c>
      <c r="I15" s="2"/>
      <c r="J15" s="2"/>
      <c r="K15" s="2"/>
      <c r="L15" s="2"/>
      <c r="M15" s="2"/>
      <c r="N15" s="2"/>
      <c r="O15" s="262">
        <f>12.5%*O27+87.5%*2.23</f>
        <v>2.125</v>
      </c>
      <c r="P15" s="24">
        <v>0.39</v>
      </c>
      <c r="Q15" s="24">
        <v>5.88</v>
      </c>
      <c r="R15" s="56">
        <v>136</v>
      </c>
      <c r="S15" s="2"/>
      <c r="T15" s="2"/>
    </row>
    <row r="16" spans="1:20">
      <c r="A16" s="2"/>
      <c r="B16" s="19" t="s">
        <v>51</v>
      </c>
      <c r="C16" s="18" t="s">
        <v>32</v>
      </c>
      <c r="D16" s="376"/>
      <c r="E16" s="52">
        <f t="shared" si="0"/>
        <v>0</v>
      </c>
      <c r="F16" s="51">
        <f t="shared" si="1"/>
        <v>0</v>
      </c>
      <c r="G16" s="51">
        <f t="shared" si="2"/>
        <v>0</v>
      </c>
      <c r="H16" s="51">
        <f t="shared" si="3"/>
        <v>0</v>
      </c>
      <c r="I16" s="2"/>
      <c r="J16" s="2"/>
      <c r="K16" s="2"/>
      <c r="L16" s="2"/>
      <c r="M16" s="2"/>
      <c r="N16" s="2"/>
      <c r="O16" s="262">
        <f>12.5%*O28+87.5%*4.27</f>
        <v>4.17875</v>
      </c>
      <c r="P16" s="24">
        <v>0.39</v>
      </c>
      <c r="Q16" s="24">
        <v>5.88</v>
      </c>
      <c r="R16" s="56">
        <v>136</v>
      </c>
      <c r="S16" s="2"/>
      <c r="T16" s="2"/>
    </row>
    <row r="17" spans="1:20">
      <c r="A17" s="2"/>
      <c r="B17" s="19" t="s">
        <v>70</v>
      </c>
      <c r="C17" s="18" t="s">
        <v>33</v>
      </c>
      <c r="D17" s="376"/>
      <c r="E17" s="52">
        <f t="shared" si="0"/>
        <v>0</v>
      </c>
      <c r="F17" s="51">
        <f t="shared" si="1"/>
        <v>0</v>
      </c>
      <c r="G17" s="51">
        <f t="shared" si="2"/>
        <v>0</v>
      </c>
      <c r="H17" s="51">
        <f t="shared" si="3"/>
        <v>0</v>
      </c>
      <c r="I17" s="2"/>
      <c r="J17" s="2"/>
      <c r="K17" s="2"/>
      <c r="L17" s="2"/>
      <c r="M17" s="2"/>
      <c r="N17" s="2"/>
      <c r="O17" s="263">
        <f>12.5%*O26+87.5%*5.67</f>
        <v>4.9937499999999995</v>
      </c>
      <c r="P17" s="26">
        <v>0.39</v>
      </c>
      <c r="Q17" s="26">
        <v>5.88</v>
      </c>
      <c r="R17" s="57">
        <v>136</v>
      </c>
      <c r="S17" s="2"/>
      <c r="T17" s="2"/>
    </row>
    <row r="18" spans="1:20" ht="15.75" thickBot="1">
      <c r="A18" s="2"/>
      <c r="B18" s="42" t="s">
        <v>51</v>
      </c>
      <c r="C18" s="18" t="s">
        <v>36</v>
      </c>
      <c r="D18" s="376"/>
      <c r="E18" s="52">
        <f t="shared" si="0"/>
        <v>0</v>
      </c>
      <c r="F18" s="51">
        <f t="shared" si="1"/>
        <v>0</v>
      </c>
      <c r="G18" s="51">
        <f t="shared" si="2"/>
        <v>0</v>
      </c>
      <c r="H18" s="51">
        <f t="shared" si="3"/>
        <v>0</v>
      </c>
      <c r="I18" s="2"/>
      <c r="J18" s="2"/>
      <c r="K18" s="2"/>
      <c r="L18" s="2"/>
      <c r="M18" s="2"/>
      <c r="N18" s="2"/>
      <c r="O18" s="262">
        <f>16.5%*O26+83.5%*0.44</f>
        <v>0.4103</v>
      </c>
      <c r="P18" s="24">
        <v>0.39</v>
      </c>
      <c r="Q18" s="24">
        <v>5.84</v>
      </c>
      <c r="R18" s="29">
        <v>133</v>
      </c>
      <c r="S18" s="2"/>
      <c r="T18" s="2"/>
    </row>
    <row r="19" spans="1:20">
      <c r="A19" s="2"/>
      <c r="B19" s="19" t="s">
        <v>53</v>
      </c>
      <c r="C19" s="18" t="s">
        <v>28</v>
      </c>
      <c r="D19" s="376"/>
      <c r="E19" s="52">
        <f t="shared" si="0"/>
        <v>0</v>
      </c>
      <c r="F19" s="51">
        <f t="shared" si="1"/>
        <v>0</v>
      </c>
      <c r="G19" s="51">
        <f t="shared" si="2"/>
        <v>0</v>
      </c>
      <c r="H19" s="51">
        <f t="shared" si="3"/>
        <v>0</v>
      </c>
      <c r="I19" s="2"/>
      <c r="J19" s="2"/>
      <c r="K19" s="2"/>
      <c r="L19" s="2"/>
      <c r="M19" s="2"/>
      <c r="N19" s="2"/>
      <c r="O19" s="262">
        <f>16.5%*O27+83.5%*1.51</f>
        <v>1.4902</v>
      </c>
      <c r="P19" s="24">
        <v>0.39</v>
      </c>
      <c r="Q19" s="24">
        <v>5.84</v>
      </c>
      <c r="R19" s="29">
        <v>133</v>
      </c>
      <c r="S19" s="2"/>
      <c r="T19" s="2"/>
    </row>
    <row r="20" spans="1:20">
      <c r="A20" s="2"/>
      <c r="B20" s="19" t="s">
        <v>53</v>
      </c>
      <c r="C20" s="18" t="s">
        <v>32</v>
      </c>
      <c r="D20" s="376"/>
      <c r="E20" s="52">
        <f t="shared" si="0"/>
        <v>0</v>
      </c>
      <c r="F20" s="51">
        <f t="shared" si="1"/>
        <v>0</v>
      </c>
      <c r="G20" s="51">
        <f t="shared" si="2"/>
        <v>0</v>
      </c>
      <c r="H20" s="51">
        <f t="shared" si="3"/>
        <v>0</v>
      </c>
      <c r="I20" s="2"/>
      <c r="J20" s="2"/>
      <c r="K20" s="2"/>
      <c r="L20" s="2"/>
      <c r="M20" s="2"/>
      <c r="N20" s="2"/>
      <c r="O20" s="262">
        <f>16.5%*O28+83.5%*3.16</f>
        <v>3.2226999999999997</v>
      </c>
      <c r="P20" s="24">
        <v>0.39</v>
      </c>
      <c r="Q20" s="24">
        <v>5.84</v>
      </c>
      <c r="R20" s="29">
        <v>133</v>
      </c>
      <c r="S20" s="2"/>
      <c r="T20" s="2"/>
    </row>
    <row r="21" spans="1:20">
      <c r="A21" s="2"/>
      <c r="B21" s="19" t="s">
        <v>53</v>
      </c>
      <c r="C21" s="18" t="s">
        <v>33</v>
      </c>
      <c r="D21" s="376"/>
      <c r="E21" s="52">
        <f t="shared" si="0"/>
        <v>0</v>
      </c>
      <c r="F21" s="51">
        <f t="shared" si="1"/>
        <v>0</v>
      </c>
      <c r="G21" s="51">
        <f t="shared" si="2"/>
        <v>0</v>
      </c>
      <c r="H21" s="51">
        <f t="shared" si="3"/>
        <v>0</v>
      </c>
      <c r="I21" s="2"/>
      <c r="J21" s="2"/>
      <c r="K21" s="2"/>
      <c r="L21" s="2"/>
      <c r="M21" s="2"/>
      <c r="N21" s="2"/>
      <c r="O21" s="262">
        <f>16.5%*O29+83.5%*5.67</f>
        <v>5.67</v>
      </c>
      <c r="P21" s="24">
        <v>0.39</v>
      </c>
      <c r="Q21" s="24">
        <v>5.84</v>
      </c>
      <c r="R21" s="29">
        <v>133</v>
      </c>
      <c r="S21" s="2"/>
      <c r="T21" s="2"/>
    </row>
    <row r="22" spans="1:20" ht="15.75" thickBot="1">
      <c r="A22" s="2"/>
      <c r="B22" s="42" t="s">
        <v>53</v>
      </c>
      <c r="C22" s="18" t="s">
        <v>36</v>
      </c>
      <c r="D22" s="376"/>
      <c r="E22" s="52">
        <f t="shared" si="0"/>
        <v>0</v>
      </c>
      <c r="F22" s="51">
        <f t="shared" si="1"/>
        <v>0</v>
      </c>
      <c r="G22" s="51">
        <f t="shared" si="2"/>
        <v>0</v>
      </c>
      <c r="H22" s="51">
        <f t="shared" si="3"/>
        <v>0</v>
      </c>
      <c r="I22" s="2"/>
      <c r="J22" s="2"/>
      <c r="K22" s="2"/>
      <c r="L22" s="2"/>
      <c r="M22" s="2"/>
      <c r="N22" s="2"/>
      <c r="O22" s="264">
        <v>0.14000000000000001</v>
      </c>
      <c r="P22" s="23">
        <v>0.11</v>
      </c>
      <c r="Q22" s="23">
        <v>1.74</v>
      </c>
      <c r="R22" s="30">
        <v>51</v>
      </c>
      <c r="S22" s="2"/>
      <c r="T22" s="2"/>
    </row>
    <row r="23" spans="1:20">
      <c r="A23" s="2"/>
      <c r="B23" s="19" t="s">
        <v>18</v>
      </c>
      <c r="C23" s="18" t="s">
        <v>28</v>
      </c>
      <c r="D23" s="376"/>
      <c r="E23" s="52">
        <f t="shared" si="0"/>
        <v>0</v>
      </c>
      <c r="F23" s="51">
        <f t="shared" si="1"/>
        <v>0</v>
      </c>
      <c r="G23" s="51">
        <f t="shared" si="2"/>
        <v>0</v>
      </c>
      <c r="H23" s="51">
        <f t="shared" si="3"/>
        <v>0</v>
      </c>
      <c r="I23" s="2"/>
      <c r="J23" s="2"/>
      <c r="K23" s="2"/>
      <c r="L23" s="2"/>
      <c r="M23" s="2"/>
      <c r="N23" s="2"/>
      <c r="O23" s="265">
        <v>1.27</v>
      </c>
      <c r="P23" s="25">
        <v>0.11</v>
      </c>
      <c r="Q23" s="25">
        <v>1.74</v>
      </c>
      <c r="R23" s="31">
        <v>51</v>
      </c>
      <c r="S23" s="2"/>
      <c r="T23" s="2"/>
    </row>
    <row r="24" spans="1:20">
      <c r="A24" s="2"/>
      <c r="B24" s="19" t="s">
        <v>18</v>
      </c>
      <c r="C24" s="18" t="s">
        <v>32</v>
      </c>
      <c r="D24" s="376"/>
      <c r="E24" s="52">
        <f t="shared" si="0"/>
        <v>0</v>
      </c>
      <c r="F24" s="51">
        <f t="shared" si="1"/>
        <v>0</v>
      </c>
      <c r="G24" s="51">
        <f t="shared" si="2"/>
        <v>0</v>
      </c>
      <c r="H24" s="51">
        <f t="shared" si="3"/>
        <v>0</v>
      </c>
      <c r="I24" s="2"/>
      <c r="J24" s="2"/>
      <c r="K24" s="2"/>
      <c r="L24" s="2"/>
      <c r="M24" s="2"/>
      <c r="N24" s="2"/>
      <c r="O24" s="262">
        <v>3.23</v>
      </c>
      <c r="P24" s="25">
        <v>0.11</v>
      </c>
      <c r="Q24" s="25">
        <v>1.74</v>
      </c>
      <c r="R24" s="31">
        <v>51</v>
      </c>
      <c r="S24" s="2"/>
      <c r="T24" s="2"/>
    </row>
    <row r="25" spans="1:20">
      <c r="A25" s="2"/>
      <c r="B25" s="19" t="s">
        <v>18</v>
      </c>
      <c r="C25" s="18" t="s">
        <v>33</v>
      </c>
      <c r="D25" s="376"/>
      <c r="E25" s="52">
        <f t="shared" si="0"/>
        <v>0</v>
      </c>
      <c r="F25" s="51">
        <f t="shared" si="1"/>
        <v>0</v>
      </c>
      <c r="G25" s="51">
        <f t="shared" si="2"/>
        <v>0</v>
      </c>
      <c r="H25" s="51">
        <f t="shared" si="3"/>
        <v>0</v>
      </c>
      <c r="I25" s="2"/>
      <c r="J25" s="2"/>
      <c r="K25" s="2"/>
      <c r="L25" s="2"/>
      <c r="M25" s="2"/>
      <c r="N25" s="2"/>
      <c r="O25" s="263">
        <v>5.15</v>
      </c>
      <c r="P25" s="27">
        <v>0.11</v>
      </c>
      <c r="Q25" s="27">
        <v>1.74</v>
      </c>
      <c r="R25" s="32">
        <v>51</v>
      </c>
      <c r="S25" s="2"/>
      <c r="T25" s="2"/>
    </row>
    <row r="26" spans="1:20" ht="15.75" thickBot="1">
      <c r="A26" s="2"/>
      <c r="B26" s="42" t="s">
        <v>18</v>
      </c>
      <c r="C26" s="18" t="s">
        <v>36</v>
      </c>
      <c r="D26" s="376"/>
      <c r="E26" s="52">
        <f t="shared" si="0"/>
        <v>0</v>
      </c>
      <c r="F26" s="51">
        <f t="shared" si="1"/>
        <v>0</v>
      </c>
      <c r="G26" s="51">
        <f t="shared" si="2"/>
        <v>0</v>
      </c>
      <c r="H26" s="51">
        <f t="shared" si="3"/>
        <v>0</v>
      </c>
      <c r="I26" s="2"/>
      <c r="J26" s="2"/>
      <c r="K26" s="2"/>
      <c r="L26" s="2"/>
      <c r="M26" s="2"/>
      <c r="N26" s="2"/>
      <c r="O26" s="262">
        <v>0.26</v>
      </c>
      <c r="P26" s="25">
        <v>0.52</v>
      </c>
      <c r="Q26" s="25">
        <v>5.15</v>
      </c>
      <c r="R26" s="31">
        <v>70</v>
      </c>
      <c r="S26" s="2"/>
      <c r="T26" s="2"/>
    </row>
    <row r="27" spans="1:20">
      <c r="A27" s="2"/>
      <c r="B27" s="19" t="s">
        <v>49</v>
      </c>
      <c r="C27" s="18" t="s">
        <v>28</v>
      </c>
      <c r="D27" s="376"/>
      <c r="E27" s="52">
        <f t="shared" si="0"/>
        <v>0</v>
      </c>
      <c r="F27" s="51">
        <f t="shared" si="1"/>
        <v>0</v>
      </c>
      <c r="G27" s="51">
        <f t="shared" si="2"/>
        <v>0</v>
      </c>
      <c r="H27" s="51">
        <f t="shared" si="3"/>
        <v>0</v>
      </c>
      <c r="I27" s="2"/>
      <c r="J27" s="2"/>
      <c r="K27" s="2"/>
      <c r="L27" s="2"/>
      <c r="M27" s="2"/>
      <c r="N27" s="2"/>
      <c r="O27" s="262">
        <v>1.39</v>
      </c>
      <c r="P27" s="25">
        <v>0.52</v>
      </c>
      <c r="Q27" s="25">
        <v>5.15</v>
      </c>
      <c r="R27" s="31">
        <v>70</v>
      </c>
      <c r="S27" s="2"/>
      <c r="T27" s="2"/>
    </row>
    <row r="28" spans="1:20">
      <c r="A28" s="2"/>
      <c r="B28" s="19" t="s">
        <v>49</v>
      </c>
      <c r="C28" s="18" t="s">
        <v>32</v>
      </c>
      <c r="D28" s="376"/>
      <c r="E28" s="52">
        <f>D28*O27*0.0833</f>
        <v>0</v>
      </c>
      <c r="F28" s="51">
        <f t="shared" si="1"/>
        <v>0</v>
      </c>
      <c r="G28" s="51">
        <f t="shared" si="2"/>
        <v>0</v>
      </c>
      <c r="H28" s="51">
        <f t="shared" si="3"/>
        <v>0</v>
      </c>
      <c r="I28" s="2"/>
      <c r="J28" s="2"/>
      <c r="K28" s="2"/>
      <c r="L28" s="2"/>
      <c r="M28" s="2"/>
      <c r="N28" s="2"/>
      <c r="O28" s="262">
        <v>3.54</v>
      </c>
      <c r="P28" s="25">
        <v>0.52</v>
      </c>
      <c r="Q28" s="25">
        <v>5.15</v>
      </c>
      <c r="R28" s="31">
        <v>70</v>
      </c>
      <c r="S28" s="2"/>
      <c r="T28" s="2"/>
    </row>
    <row r="29" spans="1:20">
      <c r="A29" s="2"/>
      <c r="B29" s="19" t="s">
        <v>49</v>
      </c>
      <c r="C29" s="18" t="s">
        <v>33</v>
      </c>
      <c r="D29" s="376"/>
      <c r="E29" s="52">
        <f t="shared" si="0"/>
        <v>0</v>
      </c>
      <c r="F29" s="51">
        <f t="shared" si="1"/>
        <v>0</v>
      </c>
      <c r="G29" s="51">
        <f t="shared" si="2"/>
        <v>0</v>
      </c>
      <c r="H29" s="51">
        <f t="shared" si="3"/>
        <v>0</v>
      </c>
      <c r="I29" s="2"/>
      <c r="J29" s="2"/>
      <c r="K29" s="2"/>
      <c r="L29" s="2"/>
      <c r="M29" s="2"/>
      <c r="N29" s="2"/>
      <c r="O29" s="262">
        <v>5.67</v>
      </c>
      <c r="P29" s="25">
        <v>0.52</v>
      </c>
      <c r="Q29" s="25">
        <v>5.15</v>
      </c>
      <c r="R29" s="31">
        <v>70</v>
      </c>
      <c r="S29" s="2"/>
      <c r="T29" s="2"/>
    </row>
    <row r="30" spans="1:20" ht="15.75" thickBot="1">
      <c r="A30" s="2"/>
      <c r="B30" s="42" t="s">
        <v>49</v>
      </c>
      <c r="C30" s="18" t="s">
        <v>36</v>
      </c>
      <c r="D30" s="376"/>
      <c r="E30" s="52">
        <f t="shared" si="0"/>
        <v>0</v>
      </c>
      <c r="F30" s="51">
        <f t="shared" si="1"/>
        <v>0</v>
      </c>
      <c r="G30" s="51">
        <f t="shared" si="2"/>
        <v>0</v>
      </c>
      <c r="H30" s="51">
        <f t="shared" si="3"/>
        <v>0</v>
      </c>
      <c r="I30" s="2"/>
      <c r="J30" s="2"/>
      <c r="K30" s="2"/>
      <c r="L30" s="2"/>
      <c r="M30" s="2"/>
      <c r="N30" s="2"/>
      <c r="O30" s="264">
        <v>0.56999999999999995</v>
      </c>
      <c r="P30" s="23">
        <v>0.52</v>
      </c>
      <c r="Q30" s="23">
        <v>5.15</v>
      </c>
      <c r="R30" s="30">
        <v>70</v>
      </c>
      <c r="S30" s="2"/>
      <c r="T30" s="2"/>
    </row>
    <row r="31" spans="1:20">
      <c r="A31" s="2"/>
      <c r="B31" s="19" t="s">
        <v>44</v>
      </c>
      <c r="C31" s="18" t="s">
        <v>28</v>
      </c>
      <c r="D31" s="376"/>
      <c r="E31" s="52">
        <f t="shared" si="0"/>
        <v>0</v>
      </c>
      <c r="F31" s="51">
        <f t="shared" si="1"/>
        <v>0</v>
      </c>
      <c r="G31" s="51">
        <f t="shared" si="2"/>
        <v>0</v>
      </c>
      <c r="H31" s="51">
        <f t="shared" si="3"/>
        <v>0</v>
      </c>
      <c r="I31" s="2"/>
      <c r="J31" s="2"/>
      <c r="K31" s="2"/>
      <c r="L31" s="2"/>
      <c r="M31" s="2"/>
      <c r="N31" s="2"/>
      <c r="O31" s="262">
        <v>2.23</v>
      </c>
      <c r="P31" s="25">
        <v>0.52</v>
      </c>
      <c r="Q31" s="25">
        <v>5.15</v>
      </c>
      <c r="R31" s="31">
        <v>70</v>
      </c>
      <c r="S31" s="2"/>
      <c r="T31" s="2"/>
    </row>
    <row r="32" spans="1:20">
      <c r="A32" s="2"/>
      <c r="B32" s="19" t="s">
        <v>44</v>
      </c>
      <c r="C32" s="18" t="s">
        <v>32</v>
      </c>
      <c r="D32" s="376"/>
      <c r="E32" s="52">
        <f t="shared" si="0"/>
        <v>0</v>
      </c>
      <c r="F32" s="51">
        <f t="shared" si="1"/>
        <v>0</v>
      </c>
      <c r="G32" s="51">
        <f t="shared" si="2"/>
        <v>0</v>
      </c>
      <c r="H32" s="51">
        <f t="shared" si="3"/>
        <v>0</v>
      </c>
      <c r="I32" s="2"/>
      <c r="J32" s="2"/>
      <c r="K32" s="2"/>
      <c r="L32" s="2"/>
      <c r="M32" s="2"/>
      <c r="N32" s="2"/>
      <c r="O32" s="262">
        <v>4.6900000000000004</v>
      </c>
      <c r="P32" s="25">
        <v>0.52</v>
      </c>
      <c r="Q32" s="25">
        <v>5.15</v>
      </c>
      <c r="R32" s="31">
        <v>70</v>
      </c>
      <c r="S32" s="2"/>
      <c r="T32" s="2"/>
    </row>
    <row r="33" spans="1:20">
      <c r="A33" s="2"/>
      <c r="B33" s="19" t="s">
        <v>44</v>
      </c>
      <c r="C33" s="18" t="s">
        <v>33</v>
      </c>
      <c r="D33" s="376"/>
      <c r="E33" s="52">
        <f t="shared" si="0"/>
        <v>0</v>
      </c>
      <c r="F33" s="51">
        <f t="shared" si="1"/>
        <v>0</v>
      </c>
      <c r="G33" s="51">
        <f t="shared" si="2"/>
        <v>0</v>
      </c>
      <c r="H33" s="51">
        <f t="shared" si="3"/>
        <v>0</v>
      </c>
      <c r="I33" s="2"/>
      <c r="J33" s="2"/>
      <c r="K33" s="2"/>
      <c r="L33" s="2"/>
      <c r="M33" s="2"/>
      <c r="N33" s="2"/>
      <c r="O33" s="263">
        <v>6.88</v>
      </c>
      <c r="P33" s="27">
        <v>0.52</v>
      </c>
      <c r="Q33" s="27">
        <v>5.15</v>
      </c>
      <c r="R33" s="32">
        <v>70</v>
      </c>
      <c r="S33" s="2"/>
      <c r="T33" s="2"/>
    </row>
    <row r="34" spans="1:20" ht="15.75" thickBot="1">
      <c r="A34" s="2"/>
      <c r="B34" s="42" t="s">
        <v>44</v>
      </c>
      <c r="C34" s="18" t="s">
        <v>36</v>
      </c>
      <c r="D34" s="376"/>
      <c r="E34" s="52">
        <f t="shared" si="0"/>
        <v>0</v>
      </c>
      <c r="F34" s="51">
        <f t="shared" si="1"/>
        <v>0</v>
      </c>
      <c r="G34" s="51">
        <f t="shared" si="2"/>
        <v>0</v>
      </c>
      <c r="H34" s="51">
        <f t="shared" si="3"/>
        <v>0</v>
      </c>
      <c r="I34" s="2"/>
      <c r="J34" s="2"/>
      <c r="K34" s="2"/>
      <c r="L34" s="2"/>
      <c r="M34" s="2"/>
      <c r="N34" s="2"/>
      <c r="O34" s="262">
        <v>1.85826771464</v>
      </c>
      <c r="P34" s="25">
        <v>0.24</v>
      </c>
      <c r="Q34" s="25">
        <v>3.29</v>
      </c>
      <c r="R34" s="31">
        <v>97</v>
      </c>
      <c r="S34" s="2"/>
      <c r="T34" s="2"/>
    </row>
    <row r="35" spans="1:20">
      <c r="A35" s="2"/>
      <c r="B35" s="19" t="s">
        <v>50</v>
      </c>
      <c r="C35" s="18" t="s">
        <v>28</v>
      </c>
      <c r="D35" s="376"/>
      <c r="E35" s="52">
        <f t="shared" si="0"/>
        <v>0</v>
      </c>
      <c r="F35" s="51">
        <f t="shared" si="1"/>
        <v>0</v>
      </c>
      <c r="G35" s="51">
        <f t="shared" si="2"/>
        <v>0</v>
      </c>
      <c r="H35" s="51">
        <f t="shared" si="3"/>
        <v>0</v>
      </c>
      <c r="I35" s="2"/>
      <c r="J35" s="2"/>
      <c r="K35" s="2"/>
      <c r="L35" s="2"/>
      <c r="M35" s="2"/>
      <c r="N35" s="2"/>
      <c r="O35" s="262">
        <v>4.3499999999999996</v>
      </c>
      <c r="P35" s="25">
        <v>0.24</v>
      </c>
      <c r="Q35" s="25">
        <v>3.29</v>
      </c>
      <c r="R35" s="31">
        <v>97</v>
      </c>
      <c r="S35" s="2"/>
      <c r="T35" s="2"/>
    </row>
    <row r="36" spans="1:20">
      <c r="A36" s="2"/>
      <c r="B36" s="19" t="s">
        <v>50</v>
      </c>
      <c r="C36" s="18" t="s">
        <v>32</v>
      </c>
      <c r="D36" s="376"/>
      <c r="E36" s="52">
        <f t="shared" si="0"/>
        <v>0</v>
      </c>
      <c r="F36" s="51">
        <f t="shared" si="1"/>
        <v>0</v>
      </c>
      <c r="G36" s="51">
        <f t="shared" si="2"/>
        <v>0</v>
      </c>
      <c r="H36" s="51">
        <f t="shared" si="3"/>
        <v>0</v>
      </c>
      <c r="I36" s="2"/>
      <c r="J36" s="2"/>
      <c r="K36" s="2"/>
      <c r="L36" s="2"/>
      <c r="M36" s="2"/>
      <c r="N36" s="2"/>
      <c r="O36" s="262">
        <v>7.5511810946599995</v>
      </c>
      <c r="P36" s="25">
        <v>0.24</v>
      </c>
      <c r="Q36" s="25">
        <v>3.29</v>
      </c>
      <c r="R36" s="31">
        <v>97</v>
      </c>
      <c r="S36" s="2"/>
      <c r="T36" s="2"/>
    </row>
    <row r="37" spans="1:20">
      <c r="A37" s="2"/>
      <c r="B37" s="19" t="s">
        <v>50</v>
      </c>
      <c r="C37" s="18" t="s">
        <v>33</v>
      </c>
      <c r="D37" s="376"/>
      <c r="E37" s="52">
        <f t="shared" si="0"/>
        <v>0</v>
      </c>
      <c r="F37" s="51">
        <f t="shared" si="1"/>
        <v>0</v>
      </c>
      <c r="G37" s="51">
        <f t="shared" si="2"/>
        <v>0</v>
      </c>
      <c r="H37" s="51">
        <f t="shared" si="3"/>
        <v>0</v>
      </c>
      <c r="I37" s="2"/>
      <c r="J37" s="2"/>
      <c r="K37" s="2"/>
      <c r="L37" s="2"/>
      <c r="M37" s="2"/>
      <c r="N37" s="2"/>
      <c r="O37" s="262">
        <v>9.5500000000000007</v>
      </c>
      <c r="P37" s="25">
        <v>0.24</v>
      </c>
      <c r="Q37" s="25">
        <v>3.29</v>
      </c>
      <c r="R37" s="31">
        <v>97</v>
      </c>
      <c r="S37" s="2"/>
      <c r="T37" s="2"/>
    </row>
    <row r="38" spans="1:20" ht="15.75" thickBot="1">
      <c r="A38" s="2"/>
      <c r="B38" s="42" t="s">
        <v>50</v>
      </c>
      <c r="C38" s="18" t="s">
        <v>36</v>
      </c>
      <c r="D38" s="376"/>
      <c r="E38" s="52">
        <f t="shared" si="0"/>
        <v>0</v>
      </c>
      <c r="F38" s="51">
        <f t="shared" si="1"/>
        <v>0</v>
      </c>
      <c r="G38" s="51">
        <f t="shared" si="2"/>
        <v>0</v>
      </c>
      <c r="H38" s="51">
        <f t="shared" si="3"/>
        <v>0</v>
      </c>
      <c r="I38" s="2"/>
      <c r="J38" s="2"/>
      <c r="K38" s="2"/>
      <c r="L38" s="2"/>
      <c r="M38" s="2"/>
      <c r="N38" s="2"/>
      <c r="O38" s="264">
        <v>8.41</v>
      </c>
      <c r="P38" s="23">
        <v>0.33</v>
      </c>
      <c r="Q38" s="23">
        <v>2.97</v>
      </c>
      <c r="R38" s="30">
        <v>77</v>
      </c>
      <c r="S38" s="2"/>
      <c r="T38" s="2"/>
    </row>
    <row r="39" spans="1:20">
      <c r="A39" s="2"/>
      <c r="B39" s="19" t="s">
        <v>17</v>
      </c>
      <c r="C39" s="18" t="s">
        <v>28</v>
      </c>
      <c r="D39" s="376"/>
      <c r="E39" s="52">
        <f t="shared" si="0"/>
        <v>0</v>
      </c>
      <c r="F39" s="51">
        <f t="shared" si="1"/>
        <v>0</v>
      </c>
      <c r="G39" s="51">
        <f t="shared" si="2"/>
        <v>0</v>
      </c>
      <c r="H39" s="51">
        <f t="shared" si="3"/>
        <v>0</v>
      </c>
      <c r="I39" s="2"/>
      <c r="J39" s="2"/>
      <c r="K39" s="2"/>
      <c r="L39" s="2"/>
      <c r="M39" s="2"/>
      <c r="N39" s="2"/>
      <c r="O39" s="262">
        <v>11.58</v>
      </c>
      <c r="P39" s="25">
        <v>0.33</v>
      </c>
      <c r="Q39" s="25">
        <v>2.97</v>
      </c>
      <c r="R39" s="31">
        <v>77</v>
      </c>
      <c r="S39" s="2"/>
      <c r="T39" s="2"/>
    </row>
    <row r="40" spans="1:20">
      <c r="A40" s="2"/>
      <c r="B40" s="19" t="s">
        <v>17</v>
      </c>
      <c r="C40" s="18" t="s">
        <v>32</v>
      </c>
      <c r="D40" s="376"/>
      <c r="E40" s="52">
        <f t="shared" si="0"/>
        <v>0</v>
      </c>
      <c r="F40" s="51">
        <f t="shared" si="1"/>
        <v>0</v>
      </c>
      <c r="G40" s="51">
        <f t="shared" si="2"/>
        <v>0</v>
      </c>
      <c r="H40" s="51">
        <f t="shared" si="3"/>
        <v>0</v>
      </c>
      <c r="I40" s="2"/>
      <c r="J40" s="2"/>
      <c r="K40" s="2"/>
      <c r="L40" s="2"/>
      <c r="M40" s="2"/>
      <c r="N40" s="2"/>
      <c r="O40" s="262">
        <v>14.61</v>
      </c>
      <c r="P40" s="25">
        <v>0.33</v>
      </c>
      <c r="Q40" s="25">
        <v>2.97</v>
      </c>
      <c r="R40" s="31">
        <v>77</v>
      </c>
      <c r="S40" s="2"/>
      <c r="T40" s="2"/>
    </row>
    <row r="41" spans="1:20">
      <c r="A41" s="2"/>
      <c r="B41" s="19" t="s">
        <v>17</v>
      </c>
      <c r="C41" s="18" t="s">
        <v>33</v>
      </c>
      <c r="D41" s="376"/>
      <c r="E41" s="52">
        <f t="shared" si="0"/>
        <v>0</v>
      </c>
      <c r="F41" s="51">
        <f t="shared" si="1"/>
        <v>0</v>
      </c>
      <c r="G41" s="51">
        <f t="shared" si="2"/>
        <v>0</v>
      </c>
      <c r="H41" s="51">
        <f t="shared" si="3"/>
        <v>0</v>
      </c>
      <c r="I41" s="2"/>
      <c r="J41" s="2"/>
      <c r="K41" s="2"/>
      <c r="L41" s="2"/>
      <c r="M41" s="2"/>
      <c r="N41" s="2"/>
      <c r="O41" s="263">
        <v>16.55</v>
      </c>
      <c r="P41" s="27">
        <v>0.33</v>
      </c>
      <c r="Q41" s="27">
        <v>2.97</v>
      </c>
      <c r="R41" s="32">
        <v>77</v>
      </c>
      <c r="S41" s="2"/>
      <c r="T41" s="2"/>
    </row>
    <row r="42" spans="1:20" ht="15.75" thickBot="1">
      <c r="A42" s="2"/>
      <c r="B42" s="42" t="s">
        <v>17</v>
      </c>
      <c r="C42" s="18" t="s">
        <v>36</v>
      </c>
      <c r="D42" s="376"/>
      <c r="E42" s="52">
        <f t="shared" si="0"/>
        <v>0</v>
      </c>
      <c r="F42" s="51">
        <f t="shared" si="1"/>
        <v>0</v>
      </c>
      <c r="G42" s="51">
        <f t="shared" si="2"/>
        <v>0</v>
      </c>
      <c r="H42" s="51">
        <f t="shared" si="3"/>
        <v>0</v>
      </c>
      <c r="I42" s="2"/>
      <c r="J42" s="2"/>
      <c r="K42" s="2"/>
      <c r="L42" s="2"/>
      <c r="M42" s="2"/>
      <c r="N42" s="2"/>
      <c r="O42" s="262">
        <v>3.89</v>
      </c>
      <c r="P42" s="25">
        <v>0.32</v>
      </c>
      <c r="Q42" s="25">
        <v>3.97</v>
      </c>
      <c r="R42" s="31">
        <v>149</v>
      </c>
      <c r="S42" s="2"/>
      <c r="T42" s="2"/>
    </row>
    <row r="43" spans="1:20">
      <c r="A43" s="2"/>
      <c r="B43" s="19" t="s">
        <v>42</v>
      </c>
      <c r="C43" s="18" t="s">
        <v>28</v>
      </c>
      <c r="D43" s="376"/>
      <c r="E43" s="52">
        <f t="shared" si="0"/>
        <v>0</v>
      </c>
      <c r="F43" s="51">
        <f t="shared" si="1"/>
        <v>0</v>
      </c>
      <c r="G43" s="51">
        <f t="shared" si="2"/>
        <v>0</v>
      </c>
      <c r="H43" s="51">
        <f t="shared" si="3"/>
        <v>0</v>
      </c>
      <c r="I43" s="2"/>
      <c r="J43" s="2"/>
      <c r="K43" s="2"/>
      <c r="L43" s="2"/>
      <c r="M43" s="2"/>
      <c r="N43" s="2"/>
      <c r="O43" s="265">
        <v>7.6</v>
      </c>
      <c r="P43" s="25">
        <v>0.32</v>
      </c>
      <c r="Q43" s="25">
        <v>3.97</v>
      </c>
      <c r="R43" s="31">
        <v>149</v>
      </c>
      <c r="S43" s="2"/>
      <c r="T43" s="2"/>
    </row>
    <row r="44" spans="1:20">
      <c r="A44" s="2"/>
      <c r="B44" s="19" t="s">
        <v>42</v>
      </c>
      <c r="C44" s="18" t="s">
        <v>32</v>
      </c>
      <c r="D44" s="376"/>
      <c r="E44" s="52">
        <f t="shared" si="0"/>
        <v>0</v>
      </c>
      <c r="F44" s="51">
        <f t="shared" si="1"/>
        <v>0</v>
      </c>
      <c r="G44" s="51">
        <f t="shared" si="2"/>
        <v>0</v>
      </c>
      <c r="H44" s="51">
        <f t="shared" si="3"/>
        <v>0</v>
      </c>
      <c r="I44" s="2"/>
      <c r="J44" s="2"/>
      <c r="K44" s="2"/>
      <c r="L44" s="2"/>
      <c r="M44" s="2"/>
      <c r="N44" s="2"/>
      <c r="O44" s="262">
        <v>10.38</v>
      </c>
      <c r="P44" s="25">
        <v>0.32</v>
      </c>
      <c r="Q44" s="25">
        <v>3.97</v>
      </c>
      <c r="R44" s="31">
        <v>149</v>
      </c>
      <c r="S44" s="2"/>
      <c r="T44" s="2"/>
    </row>
    <row r="45" spans="1:20" ht="15.75" thickBot="1">
      <c r="A45" s="2"/>
      <c r="B45" s="19" t="s">
        <v>42</v>
      </c>
      <c r="C45" s="18" t="s">
        <v>33</v>
      </c>
      <c r="D45" s="376"/>
      <c r="E45" s="52">
        <f t="shared" si="0"/>
        <v>0</v>
      </c>
      <c r="F45" s="51">
        <f t="shared" si="1"/>
        <v>0</v>
      </c>
      <c r="G45" s="51">
        <f t="shared" si="2"/>
        <v>0</v>
      </c>
      <c r="H45" s="51">
        <f t="shared" si="3"/>
        <v>0</v>
      </c>
      <c r="I45" s="2"/>
      <c r="J45" s="2"/>
      <c r="K45" s="2"/>
      <c r="L45" s="2"/>
      <c r="M45" s="2"/>
      <c r="N45" s="2"/>
      <c r="O45" s="266">
        <v>12.97</v>
      </c>
      <c r="P45" s="34">
        <v>0.32</v>
      </c>
      <c r="Q45" s="34">
        <v>3.97</v>
      </c>
      <c r="R45" s="35">
        <v>149</v>
      </c>
      <c r="S45" s="2"/>
      <c r="T45" s="2"/>
    </row>
    <row r="46" spans="1:20" ht="15.75" thickBot="1">
      <c r="A46" s="2"/>
      <c r="B46" s="37" t="s">
        <v>42</v>
      </c>
      <c r="C46" s="18" t="s">
        <v>36</v>
      </c>
      <c r="D46" s="376"/>
      <c r="E46" s="52">
        <f t="shared" si="0"/>
        <v>0</v>
      </c>
      <c r="F46" s="51">
        <f t="shared" si="1"/>
        <v>0</v>
      </c>
      <c r="G46" s="51">
        <f t="shared" si="2"/>
        <v>0</v>
      </c>
      <c r="H46" s="51">
        <f t="shared" si="3"/>
        <v>0</v>
      </c>
      <c r="I46" s="2"/>
      <c r="J46" s="2"/>
      <c r="K46" s="2"/>
      <c r="L46" s="2"/>
      <c r="M46" s="2"/>
      <c r="N46" s="2"/>
      <c r="O46" s="262">
        <v>8.41</v>
      </c>
      <c r="P46" s="25">
        <v>0.43</v>
      </c>
      <c r="Q46" s="25">
        <v>2.65</v>
      </c>
      <c r="R46" s="31">
        <v>141</v>
      </c>
      <c r="S46" s="2"/>
      <c r="T46" s="2"/>
    </row>
    <row r="47" spans="1:20">
      <c r="A47" s="2"/>
      <c r="B47" s="39" t="s">
        <v>75</v>
      </c>
      <c r="C47" s="41" t="s">
        <v>28</v>
      </c>
      <c r="D47" s="376"/>
      <c r="E47" s="52">
        <f t="shared" ref="E47:E66" si="4">D47*O46*0.0833</f>
        <v>0</v>
      </c>
      <c r="F47" s="51">
        <f t="shared" ref="F47:F66" si="5">$D47*$O46*$P46*0.2266</f>
        <v>0</v>
      </c>
      <c r="G47" s="51">
        <f t="shared" ref="G47:G66" si="6">$D47*$O46*$Q46*0.2266</f>
        <v>0</v>
      </c>
      <c r="H47" s="51">
        <f t="shared" ref="H47:H66" si="7">$D47*$O46*$R46*0.2266</f>
        <v>0</v>
      </c>
      <c r="I47" s="2"/>
      <c r="J47" s="2"/>
      <c r="K47" s="2"/>
      <c r="L47" s="2"/>
      <c r="M47" s="2"/>
      <c r="N47" s="2"/>
      <c r="O47" s="262">
        <v>11.58</v>
      </c>
      <c r="P47" s="25">
        <v>0.43</v>
      </c>
      <c r="Q47" s="25">
        <v>2.65</v>
      </c>
      <c r="R47" s="31">
        <v>141</v>
      </c>
      <c r="S47" s="2"/>
      <c r="T47" s="2"/>
    </row>
    <row r="48" spans="1:20">
      <c r="A48" s="2"/>
      <c r="B48" s="39" t="s">
        <v>75</v>
      </c>
      <c r="C48" s="41" t="s">
        <v>32</v>
      </c>
      <c r="D48" s="376"/>
      <c r="E48" s="52">
        <f t="shared" si="4"/>
        <v>0</v>
      </c>
      <c r="F48" s="51">
        <f t="shared" si="5"/>
        <v>0</v>
      </c>
      <c r="G48" s="51">
        <f t="shared" si="6"/>
        <v>0</v>
      </c>
      <c r="H48" s="51">
        <f t="shared" si="7"/>
        <v>0</v>
      </c>
      <c r="I48" s="2"/>
      <c r="J48" s="2"/>
      <c r="K48" s="2"/>
      <c r="L48" s="2"/>
      <c r="M48" s="2"/>
      <c r="N48" s="2"/>
      <c r="O48" s="262">
        <v>14.61</v>
      </c>
      <c r="P48" s="25">
        <v>0.43</v>
      </c>
      <c r="Q48" s="25">
        <v>2.65</v>
      </c>
      <c r="R48" s="31">
        <v>141</v>
      </c>
      <c r="S48" s="2"/>
      <c r="T48" s="2"/>
    </row>
    <row r="49" spans="1:20">
      <c r="A49" s="2"/>
      <c r="B49" s="39" t="s">
        <v>75</v>
      </c>
      <c r="C49" s="41" t="s">
        <v>33</v>
      </c>
      <c r="D49" s="376"/>
      <c r="E49" s="52">
        <f t="shared" si="4"/>
        <v>0</v>
      </c>
      <c r="F49" s="51">
        <f t="shared" si="5"/>
        <v>0</v>
      </c>
      <c r="G49" s="51">
        <f t="shared" si="6"/>
        <v>0</v>
      </c>
      <c r="H49" s="51">
        <f t="shared" si="7"/>
        <v>0</v>
      </c>
      <c r="I49" s="2"/>
      <c r="J49" s="2"/>
      <c r="K49" s="2"/>
      <c r="L49" s="2"/>
      <c r="M49" s="2"/>
      <c r="N49" s="2"/>
      <c r="O49" s="262">
        <v>16.55</v>
      </c>
      <c r="P49" s="25">
        <v>0.43</v>
      </c>
      <c r="Q49" s="25">
        <v>2.65</v>
      </c>
      <c r="R49" s="31">
        <v>141</v>
      </c>
      <c r="S49" s="2"/>
      <c r="T49" s="2"/>
    </row>
    <row r="50" spans="1:20" ht="15.75" thickBot="1">
      <c r="A50" s="2"/>
      <c r="B50" s="43" t="s">
        <v>75</v>
      </c>
      <c r="C50" s="41" t="s">
        <v>36</v>
      </c>
      <c r="D50" s="376"/>
      <c r="E50" s="52">
        <f t="shared" si="4"/>
        <v>0</v>
      </c>
      <c r="F50" s="51">
        <f t="shared" si="5"/>
        <v>0</v>
      </c>
      <c r="G50" s="51">
        <f t="shared" si="6"/>
        <v>0</v>
      </c>
      <c r="H50" s="51">
        <f t="shared" si="7"/>
        <v>0</v>
      </c>
      <c r="I50" s="2"/>
      <c r="J50" s="2"/>
      <c r="K50" s="2"/>
      <c r="L50" s="2"/>
      <c r="M50" s="2"/>
      <c r="N50" s="2"/>
      <c r="O50" s="264">
        <v>0</v>
      </c>
      <c r="P50" s="23">
        <v>0.11</v>
      </c>
      <c r="Q50" s="23">
        <v>1.74</v>
      </c>
      <c r="R50" s="30">
        <v>51</v>
      </c>
      <c r="S50" s="2"/>
      <c r="T50" s="2"/>
    </row>
    <row r="51" spans="1:20">
      <c r="A51" s="2"/>
      <c r="B51" s="39" t="s">
        <v>8</v>
      </c>
      <c r="C51" s="41" t="s">
        <v>28</v>
      </c>
      <c r="D51" s="376"/>
      <c r="E51" s="52">
        <f t="shared" si="4"/>
        <v>0</v>
      </c>
      <c r="F51" s="51">
        <f t="shared" si="5"/>
        <v>0</v>
      </c>
      <c r="G51" s="51">
        <f t="shared" si="6"/>
        <v>0</v>
      </c>
      <c r="H51" s="51">
        <f t="shared" si="7"/>
        <v>0</v>
      </c>
      <c r="I51" s="2"/>
      <c r="J51" s="2"/>
      <c r="K51" s="2"/>
      <c r="L51" s="2"/>
      <c r="M51" s="2"/>
      <c r="N51" s="2"/>
      <c r="O51" s="262">
        <v>0.28999999999999998</v>
      </c>
      <c r="P51" s="25">
        <v>0.11</v>
      </c>
      <c r="Q51" s="25">
        <v>1.74</v>
      </c>
      <c r="R51" s="31">
        <v>51</v>
      </c>
      <c r="S51" s="2"/>
      <c r="T51" s="2"/>
    </row>
    <row r="52" spans="1:20">
      <c r="A52" s="2"/>
      <c r="B52" s="39" t="s">
        <v>8</v>
      </c>
      <c r="C52" s="41" t="s">
        <v>32</v>
      </c>
      <c r="D52" s="376"/>
      <c r="E52" s="52">
        <f t="shared" si="4"/>
        <v>0</v>
      </c>
      <c r="F52" s="51">
        <f t="shared" si="5"/>
        <v>0</v>
      </c>
      <c r="G52" s="51">
        <f t="shared" si="6"/>
        <v>0</v>
      </c>
      <c r="H52" s="51">
        <f t="shared" si="7"/>
        <v>0</v>
      </c>
      <c r="I52" s="2"/>
      <c r="J52" s="2"/>
      <c r="K52" s="2"/>
      <c r="L52" s="2"/>
      <c r="M52" s="2"/>
      <c r="N52" s="2"/>
      <c r="O52" s="262">
        <v>1.39</v>
      </c>
      <c r="P52" s="25">
        <v>0.11</v>
      </c>
      <c r="Q52" s="25">
        <v>1.74</v>
      </c>
      <c r="R52" s="31">
        <v>51</v>
      </c>
      <c r="S52" s="2"/>
      <c r="T52" s="2"/>
    </row>
    <row r="53" spans="1:20">
      <c r="A53" s="2"/>
      <c r="B53" s="39" t="s">
        <v>8</v>
      </c>
      <c r="C53" s="41" t="s">
        <v>33</v>
      </c>
      <c r="D53" s="376"/>
      <c r="E53" s="52">
        <f t="shared" si="4"/>
        <v>0</v>
      </c>
      <c r="F53" s="51">
        <f t="shared" si="5"/>
        <v>0</v>
      </c>
      <c r="G53" s="51">
        <f t="shared" si="6"/>
        <v>0</v>
      </c>
      <c r="H53" s="51">
        <f t="shared" si="7"/>
        <v>0</v>
      </c>
      <c r="I53" s="2"/>
      <c r="J53" s="2"/>
      <c r="K53" s="2"/>
      <c r="L53" s="2"/>
      <c r="M53" s="2"/>
      <c r="N53" s="2"/>
      <c r="O53" s="263">
        <v>2.68</v>
      </c>
      <c r="P53" s="27">
        <v>0.11</v>
      </c>
      <c r="Q53" s="27">
        <v>1.74</v>
      </c>
      <c r="R53" s="32">
        <v>51</v>
      </c>
      <c r="S53" s="2"/>
      <c r="T53" s="2"/>
    </row>
    <row r="54" spans="1:20" ht="15.75" thickBot="1">
      <c r="A54" s="2"/>
      <c r="B54" s="43" t="s">
        <v>8</v>
      </c>
      <c r="C54" s="41" t="s">
        <v>36</v>
      </c>
      <c r="D54" s="376"/>
      <c r="E54" s="52">
        <f t="shared" si="4"/>
        <v>0</v>
      </c>
      <c r="F54" s="51">
        <f t="shared" si="5"/>
        <v>0</v>
      </c>
      <c r="G54" s="51">
        <f t="shared" si="6"/>
        <v>0</v>
      </c>
      <c r="H54" s="51">
        <f t="shared" si="7"/>
        <v>0</v>
      </c>
      <c r="I54" s="2"/>
      <c r="J54" s="2"/>
      <c r="K54" s="2"/>
      <c r="L54" s="2"/>
      <c r="M54" s="2"/>
      <c r="N54" s="2"/>
      <c r="O54" s="262">
        <v>0.03</v>
      </c>
      <c r="P54" s="25">
        <v>0.11</v>
      </c>
      <c r="Q54" s="25">
        <v>1.74</v>
      </c>
      <c r="R54" s="31">
        <v>51</v>
      </c>
      <c r="S54" s="2"/>
      <c r="T54" s="2"/>
    </row>
    <row r="55" spans="1:20">
      <c r="A55" s="2"/>
      <c r="B55" s="39" t="s">
        <v>38</v>
      </c>
      <c r="C55" s="41" t="s">
        <v>28</v>
      </c>
      <c r="D55" s="376"/>
      <c r="E55" s="52">
        <f t="shared" si="4"/>
        <v>0</v>
      </c>
      <c r="F55" s="51">
        <f t="shared" si="5"/>
        <v>0</v>
      </c>
      <c r="G55" s="51">
        <f t="shared" si="6"/>
        <v>0</v>
      </c>
      <c r="H55" s="51">
        <f t="shared" si="7"/>
        <v>0</v>
      </c>
      <c r="I55" s="2"/>
      <c r="J55" s="2"/>
      <c r="K55" s="2"/>
      <c r="L55" s="2"/>
      <c r="M55" s="2"/>
      <c r="N55" s="2"/>
      <c r="O55" s="262">
        <v>0.56999999999999995</v>
      </c>
      <c r="P55" s="25">
        <v>0.11</v>
      </c>
      <c r="Q55" s="25">
        <v>1.74</v>
      </c>
      <c r="R55" s="31">
        <v>51</v>
      </c>
      <c r="S55" s="2"/>
      <c r="T55" s="2"/>
    </row>
    <row r="56" spans="1:20">
      <c r="A56" s="2"/>
      <c r="B56" s="39" t="s">
        <v>38</v>
      </c>
      <c r="C56" s="41" t="s">
        <v>32</v>
      </c>
      <c r="D56" s="376"/>
      <c r="E56" s="52">
        <f t="shared" si="4"/>
        <v>0</v>
      </c>
      <c r="F56" s="51">
        <f t="shared" si="5"/>
        <v>0</v>
      </c>
      <c r="G56" s="51">
        <f t="shared" si="6"/>
        <v>0</v>
      </c>
      <c r="H56" s="51">
        <f t="shared" si="7"/>
        <v>0</v>
      </c>
      <c r="I56" s="2"/>
      <c r="J56" s="2"/>
      <c r="K56" s="2"/>
      <c r="L56" s="2"/>
      <c r="M56" s="2"/>
      <c r="N56" s="2"/>
      <c r="O56" s="262">
        <v>2.0299999999999998</v>
      </c>
      <c r="P56" s="25">
        <v>0.11</v>
      </c>
      <c r="Q56" s="25">
        <v>1.74</v>
      </c>
      <c r="R56" s="31">
        <v>51</v>
      </c>
      <c r="S56" s="2"/>
      <c r="T56" s="2"/>
    </row>
    <row r="57" spans="1:20">
      <c r="A57" s="2"/>
      <c r="B57" s="39" t="s">
        <v>38</v>
      </c>
      <c r="C57" s="41" t="s">
        <v>33</v>
      </c>
      <c r="D57" s="376"/>
      <c r="E57" s="52">
        <f t="shared" si="4"/>
        <v>0</v>
      </c>
      <c r="F57" s="51">
        <f t="shared" si="5"/>
        <v>0</v>
      </c>
      <c r="G57" s="51">
        <f t="shared" si="6"/>
        <v>0</v>
      </c>
      <c r="H57" s="51">
        <f t="shared" si="7"/>
        <v>0</v>
      </c>
      <c r="I57" s="2"/>
      <c r="J57" s="2"/>
      <c r="K57" s="2"/>
      <c r="L57" s="2"/>
      <c r="M57" s="2"/>
      <c r="N57" s="2"/>
      <c r="O57" s="263">
        <v>3.54</v>
      </c>
      <c r="P57" s="25">
        <v>0.11</v>
      </c>
      <c r="Q57" s="25">
        <v>1.74</v>
      </c>
      <c r="R57" s="31">
        <v>51</v>
      </c>
      <c r="S57" s="2"/>
      <c r="T57" s="2"/>
    </row>
    <row r="58" spans="1:20" ht="15.75" thickBot="1">
      <c r="A58" s="2"/>
      <c r="B58" s="43" t="s">
        <v>38</v>
      </c>
      <c r="C58" s="41" t="s">
        <v>36</v>
      </c>
      <c r="D58" s="376"/>
      <c r="E58" s="52">
        <f t="shared" si="4"/>
        <v>0</v>
      </c>
      <c r="F58" s="51">
        <f t="shared" si="5"/>
        <v>0</v>
      </c>
      <c r="G58" s="51">
        <f t="shared" si="6"/>
        <v>0</v>
      </c>
      <c r="H58" s="51">
        <f t="shared" si="7"/>
        <v>0</v>
      </c>
      <c r="I58" s="2"/>
      <c r="J58" s="2"/>
      <c r="K58" s="2"/>
      <c r="L58" s="2"/>
      <c r="M58" s="2"/>
      <c r="N58" s="2"/>
      <c r="O58" s="262">
        <v>0</v>
      </c>
      <c r="P58" s="25">
        <v>0.08</v>
      </c>
      <c r="Q58" s="25">
        <v>1.38</v>
      </c>
      <c r="R58" s="31">
        <v>6</v>
      </c>
      <c r="S58" s="2"/>
      <c r="T58" s="2"/>
    </row>
    <row r="59" spans="1:20">
      <c r="A59" s="2"/>
      <c r="B59" s="39" t="s">
        <v>16</v>
      </c>
      <c r="C59" s="41" t="s">
        <v>28</v>
      </c>
      <c r="D59" s="376"/>
      <c r="E59" s="52">
        <f t="shared" si="4"/>
        <v>0</v>
      </c>
      <c r="F59" s="51">
        <f t="shared" si="5"/>
        <v>0</v>
      </c>
      <c r="G59" s="51">
        <f t="shared" si="6"/>
        <v>0</v>
      </c>
      <c r="H59" s="51">
        <f t="shared" si="7"/>
        <v>0</v>
      </c>
      <c r="I59" s="2"/>
      <c r="J59" s="2"/>
      <c r="K59" s="2"/>
      <c r="L59" s="2"/>
      <c r="M59" s="2"/>
      <c r="N59" s="2"/>
      <c r="O59" s="262">
        <v>0</v>
      </c>
      <c r="P59" s="25">
        <v>0.08</v>
      </c>
      <c r="Q59" s="25">
        <v>1.38</v>
      </c>
      <c r="R59" s="31">
        <v>6</v>
      </c>
      <c r="S59" s="2"/>
      <c r="T59" s="2"/>
    </row>
    <row r="60" spans="1:20">
      <c r="A60" s="2"/>
      <c r="B60" s="39" t="s">
        <v>16</v>
      </c>
      <c r="C60" s="41" t="s">
        <v>32</v>
      </c>
      <c r="D60" s="376"/>
      <c r="E60" s="52">
        <f t="shared" si="4"/>
        <v>0</v>
      </c>
      <c r="F60" s="51">
        <f t="shared" si="5"/>
        <v>0</v>
      </c>
      <c r="G60" s="51">
        <f t="shared" si="6"/>
        <v>0</v>
      </c>
      <c r="H60" s="51">
        <f t="shared" si="7"/>
        <v>0</v>
      </c>
      <c r="I60" s="2"/>
      <c r="J60" s="2"/>
      <c r="K60" s="2"/>
      <c r="L60" s="2"/>
      <c r="M60" s="2"/>
      <c r="N60" s="2"/>
      <c r="O60" s="262">
        <v>0</v>
      </c>
      <c r="P60" s="25">
        <v>0.08</v>
      </c>
      <c r="Q60" s="25">
        <v>1.38</v>
      </c>
      <c r="R60" s="31">
        <v>6</v>
      </c>
      <c r="S60" s="2"/>
      <c r="T60" s="2"/>
    </row>
    <row r="61" spans="1:20">
      <c r="A61" s="2"/>
      <c r="B61" s="39" t="s">
        <v>16</v>
      </c>
      <c r="C61" s="41" t="s">
        <v>33</v>
      </c>
      <c r="D61" s="376"/>
      <c r="E61" s="52">
        <f t="shared" si="4"/>
        <v>0</v>
      </c>
      <c r="F61" s="51">
        <f t="shared" si="5"/>
        <v>0</v>
      </c>
      <c r="G61" s="51">
        <f t="shared" si="6"/>
        <v>0</v>
      </c>
      <c r="H61" s="51">
        <f t="shared" si="7"/>
        <v>0</v>
      </c>
      <c r="I61" s="2"/>
      <c r="J61" s="2"/>
      <c r="K61" s="2"/>
      <c r="L61" s="2"/>
      <c r="M61" s="2"/>
      <c r="N61" s="2"/>
      <c r="O61" s="262">
        <v>0</v>
      </c>
      <c r="P61" s="25">
        <v>0.08</v>
      </c>
      <c r="Q61" s="25">
        <v>1.38</v>
      </c>
      <c r="R61" s="31">
        <v>6</v>
      </c>
      <c r="S61" s="2"/>
      <c r="T61" s="2"/>
    </row>
    <row r="62" spans="1:20" ht="15.75" thickBot="1">
      <c r="A62" s="2"/>
      <c r="B62" s="43" t="s">
        <v>16</v>
      </c>
      <c r="C62" s="41" t="s">
        <v>36</v>
      </c>
      <c r="D62" s="376"/>
      <c r="E62" s="52">
        <f t="shared" si="4"/>
        <v>0</v>
      </c>
      <c r="F62" s="51">
        <f t="shared" si="5"/>
        <v>0</v>
      </c>
      <c r="G62" s="51">
        <f t="shared" si="6"/>
        <v>0</v>
      </c>
      <c r="H62" s="51">
        <f t="shared" si="7"/>
        <v>0</v>
      </c>
      <c r="I62" s="2"/>
      <c r="J62" s="2"/>
      <c r="K62" s="2"/>
      <c r="L62" s="2"/>
      <c r="M62" s="2"/>
      <c r="N62" s="2"/>
      <c r="O62" s="264">
        <v>0</v>
      </c>
      <c r="P62" s="23">
        <v>0.08</v>
      </c>
      <c r="Q62" s="23">
        <v>1.38</v>
      </c>
      <c r="R62" s="30">
        <v>6</v>
      </c>
      <c r="S62" s="2"/>
      <c r="T62" s="2"/>
    </row>
    <row r="63" spans="1:20">
      <c r="A63" s="2"/>
      <c r="B63" s="39" t="s">
        <v>9</v>
      </c>
      <c r="C63" s="41" t="s">
        <v>28</v>
      </c>
      <c r="D63" s="376"/>
      <c r="E63" s="52">
        <f t="shared" si="4"/>
        <v>0</v>
      </c>
      <c r="F63" s="51">
        <f t="shared" si="5"/>
        <v>0</v>
      </c>
      <c r="G63" s="51">
        <f t="shared" si="6"/>
        <v>0</v>
      </c>
      <c r="H63" s="51">
        <f t="shared" si="7"/>
        <v>0</v>
      </c>
      <c r="I63" s="2"/>
      <c r="J63" s="2"/>
      <c r="K63" s="2"/>
      <c r="L63" s="2"/>
      <c r="M63" s="2"/>
      <c r="N63" s="2"/>
      <c r="O63" s="262">
        <v>0</v>
      </c>
      <c r="P63" s="25">
        <v>0.08</v>
      </c>
      <c r="Q63" s="25">
        <v>1.38</v>
      </c>
      <c r="R63" s="31">
        <v>6</v>
      </c>
      <c r="S63" s="2"/>
      <c r="T63" s="2"/>
    </row>
    <row r="64" spans="1:20">
      <c r="A64" s="2"/>
      <c r="B64" s="39" t="s">
        <v>9</v>
      </c>
      <c r="C64" s="41" t="s">
        <v>32</v>
      </c>
      <c r="D64" s="376"/>
      <c r="E64" s="52">
        <f t="shared" si="4"/>
        <v>0</v>
      </c>
      <c r="F64" s="51">
        <f t="shared" si="5"/>
        <v>0</v>
      </c>
      <c r="G64" s="51">
        <f t="shared" si="6"/>
        <v>0</v>
      </c>
      <c r="H64" s="51">
        <f t="shared" si="7"/>
        <v>0</v>
      </c>
      <c r="I64" s="2"/>
      <c r="J64" s="2"/>
      <c r="K64" s="2"/>
      <c r="L64" s="2"/>
      <c r="M64" s="2"/>
      <c r="N64" s="2"/>
      <c r="O64" s="262">
        <v>0</v>
      </c>
      <c r="P64" s="25">
        <v>0.08</v>
      </c>
      <c r="Q64" s="25">
        <v>1.38</v>
      </c>
      <c r="R64" s="31">
        <v>6</v>
      </c>
      <c r="S64" s="2"/>
      <c r="T64" s="2"/>
    </row>
    <row r="65" spans="1:20" ht="15.75" thickBot="1">
      <c r="A65" s="2"/>
      <c r="B65" s="39" t="s">
        <v>9</v>
      </c>
      <c r="C65" s="41" t="s">
        <v>33</v>
      </c>
      <c r="D65" s="376"/>
      <c r="E65" s="52">
        <f t="shared" si="4"/>
        <v>0</v>
      </c>
      <c r="F65" s="51">
        <f t="shared" si="5"/>
        <v>0</v>
      </c>
      <c r="G65" s="51">
        <f t="shared" si="6"/>
        <v>0</v>
      </c>
      <c r="H65" s="51">
        <f t="shared" si="7"/>
        <v>0</v>
      </c>
      <c r="I65" s="2"/>
      <c r="J65" s="2"/>
      <c r="K65" s="2"/>
      <c r="L65" s="2"/>
      <c r="M65" s="2"/>
      <c r="N65" s="2"/>
      <c r="O65" s="263">
        <v>0</v>
      </c>
      <c r="P65" s="34">
        <v>0.08</v>
      </c>
      <c r="Q65" s="34">
        <v>1.38</v>
      </c>
      <c r="R65" s="35">
        <v>6</v>
      </c>
      <c r="S65" s="2"/>
      <c r="T65" s="2"/>
    </row>
    <row r="66" spans="1:20" ht="15.75" thickBot="1">
      <c r="A66" s="2"/>
      <c r="B66" s="40" t="s">
        <v>9</v>
      </c>
      <c r="C66" s="41" t="s">
        <v>36</v>
      </c>
      <c r="D66" s="376"/>
      <c r="E66" s="52">
        <f t="shared" si="4"/>
        <v>0</v>
      </c>
      <c r="F66" s="51">
        <f t="shared" si="5"/>
        <v>0</v>
      </c>
      <c r="G66" s="51">
        <f t="shared" si="6"/>
        <v>0</v>
      </c>
      <c r="H66" s="51">
        <f t="shared" si="7"/>
        <v>0</v>
      </c>
      <c r="I66" s="2"/>
      <c r="J66" s="2"/>
      <c r="K66" s="2"/>
      <c r="L66" s="2"/>
      <c r="M66" s="2"/>
      <c r="N66" s="2"/>
      <c r="O66" s="24"/>
      <c r="P66" s="25"/>
      <c r="Q66" s="25"/>
      <c r="R66" s="25"/>
      <c r="S66" s="2"/>
      <c r="T66" s="2"/>
    </row>
    <row r="67" spans="1:20" ht="15.75" thickBot="1">
      <c r="A67" s="2"/>
      <c r="B67" s="39"/>
      <c r="C67" s="172"/>
      <c r="D67" s="38"/>
      <c r="E67" s="173"/>
      <c r="F67" s="160"/>
      <c r="G67" s="160"/>
      <c r="H67" s="160"/>
      <c r="I67" s="19"/>
      <c r="J67" s="19"/>
      <c r="K67" s="19"/>
      <c r="L67" s="19"/>
      <c r="M67" s="19"/>
      <c r="N67" s="2"/>
      <c r="O67" s="24"/>
      <c r="P67" s="25"/>
      <c r="Q67" s="25"/>
      <c r="R67" s="25"/>
      <c r="S67" s="2"/>
      <c r="T67" s="2"/>
    </row>
    <row r="68" spans="1:20" ht="32.25" thickBot="1">
      <c r="A68" s="2"/>
      <c r="B68" s="19"/>
      <c r="C68" s="38"/>
      <c r="D68" s="222" t="s">
        <v>69</v>
      </c>
      <c r="E68" s="166" t="s">
        <v>7</v>
      </c>
      <c r="F68" s="167" t="s">
        <v>74</v>
      </c>
      <c r="G68" s="167" t="s">
        <v>73</v>
      </c>
      <c r="H68" s="166" t="s">
        <v>72</v>
      </c>
      <c r="I68" s="19"/>
      <c r="J68" s="19"/>
      <c r="K68" s="19"/>
      <c r="L68" s="19"/>
      <c r="M68" s="19"/>
      <c r="N68" s="2"/>
      <c r="O68" s="24"/>
      <c r="P68" s="25"/>
      <c r="Q68" s="25"/>
      <c r="R68" s="25"/>
      <c r="S68" s="2"/>
      <c r="T68" s="2"/>
    </row>
    <row r="69" spans="1:20" ht="16.5" thickBot="1">
      <c r="A69" s="2"/>
      <c r="B69" s="174" t="s">
        <v>10</v>
      </c>
      <c r="C69" s="221"/>
      <c r="D69" s="223">
        <f>IF('A-Current Load'!D67=SUM(D15:D66),SUM(D15:D66),"Error")</f>
        <v>0</v>
      </c>
      <c r="E69" s="224">
        <f t="shared" ref="E69:H69" si="8">SUM(E15:E66)</f>
        <v>0</v>
      </c>
      <c r="F69" s="224">
        <f t="shared" si="8"/>
        <v>0</v>
      </c>
      <c r="G69" s="224">
        <f t="shared" si="8"/>
        <v>0</v>
      </c>
      <c r="H69" s="225">
        <f t="shared" si="8"/>
        <v>0</v>
      </c>
      <c r="I69" s="2"/>
      <c r="J69" s="2"/>
      <c r="K69" s="2"/>
      <c r="L69" s="2"/>
      <c r="M69" s="2"/>
      <c r="N69" s="2"/>
      <c r="O69" s="2"/>
      <c r="P69" s="2"/>
      <c r="Q69" s="2"/>
      <c r="R69" s="2"/>
      <c r="S69" s="2"/>
      <c r="T69" s="2"/>
    </row>
    <row r="70" spans="1:20">
      <c r="A70" s="2"/>
      <c r="B70" s="2"/>
      <c r="C70" s="2"/>
      <c r="D70" s="2"/>
      <c r="E70" s="2"/>
      <c r="F70" s="2"/>
      <c r="G70" s="2"/>
      <c r="H70" s="2"/>
      <c r="I70" s="2"/>
      <c r="J70" s="2"/>
      <c r="K70" s="2"/>
      <c r="L70" s="2"/>
      <c r="M70" s="2"/>
      <c r="N70" s="2"/>
      <c r="O70" s="2"/>
      <c r="P70" s="2"/>
      <c r="Q70" s="2"/>
      <c r="R70" s="2"/>
      <c r="S70" s="2"/>
      <c r="T70" s="2"/>
    </row>
    <row r="71" spans="1:20">
      <c r="A71" s="2"/>
      <c r="B71" s="2"/>
      <c r="C71" s="2"/>
      <c r="D71" s="2"/>
      <c r="E71" s="2"/>
      <c r="F71" s="2"/>
      <c r="G71" s="2"/>
      <c r="H71" s="2"/>
      <c r="I71" s="2"/>
      <c r="J71" s="2"/>
      <c r="K71" s="2"/>
      <c r="L71" s="2"/>
      <c r="M71" s="2"/>
      <c r="N71" s="2"/>
      <c r="O71" s="2"/>
      <c r="P71" s="2"/>
      <c r="Q71" s="2"/>
      <c r="R71" s="2"/>
      <c r="S71" s="2"/>
      <c r="T71" s="2"/>
    </row>
  </sheetData>
  <sheetProtection password="AFF9" sheet="1" objects="1" scenarios="1"/>
  <mergeCells count="2">
    <mergeCell ref="B7:I7"/>
    <mergeCell ref="J5:M5"/>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2:X86"/>
  <sheetViews>
    <sheetView workbookViewId="0">
      <selection activeCell="F25" sqref="F25"/>
    </sheetView>
  </sheetViews>
  <sheetFormatPr defaultRowHeight="15"/>
  <cols>
    <col min="1" max="1" width="9.140625" style="2"/>
    <col min="2" max="2" width="40.28515625" style="2" bestFit="1" customWidth="1"/>
    <col min="3" max="3" width="12" style="2" customWidth="1"/>
    <col min="4" max="4" width="13" style="2" customWidth="1"/>
    <col min="5" max="5" width="15.85546875" style="2" customWidth="1"/>
    <col min="6" max="6" width="15.5703125" style="2" customWidth="1"/>
    <col min="7" max="7" width="15.85546875" style="2" customWidth="1"/>
    <col min="8" max="8" width="15.7109375" style="2" customWidth="1"/>
    <col min="9" max="9" width="16.7109375" style="2" customWidth="1"/>
    <col min="10" max="10" width="12.5703125" style="2" customWidth="1"/>
    <col min="11" max="12" width="7.7109375" style="2" customWidth="1"/>
    <col min="13" max="13" width="12.5703125" style="2" customWidth="1"/>
    <col min="14" max="15" width="13" style="2" customWidth="1"/>
    <col min="16" max="16" width="15.7109375" style="2" customWidth="1"/>
    <col min="17" max="17" width="25" style="2" customWidth="1"/>
    <col min="20" max="20" width="9.140625" customWidth="1"/>
    <col min="21" max="24" width="9.140625" hidden="1" customWidth="1"/>
  </cols>
  <sheetData>
    <row r="2" spans="1:15" ht="18">
      <c r="B2" s="21" t="s">
        <v>172</v>
      </c>
    </row>
    <row r="4" spans="1:15" ht="15.75" thickBot="1"/>
    <row r="5" spans="1:15" ht="16.5" thickBot="1">
      <c r="A5" s="67" t="s">
        <v>31</v>
      </c>
      <c r="B5" s="68" t="s">
        <v>79</v>
      </c>
      <c r="C5" s="73"/>
      <c r="D5" s="70"/>
    </row>
    <row r="7" spans="1:15" ht="15.75">
      <c r="A7" s="74">
        <v>3</v>
      </c>
      <c r="B7" s="2" t="s">
        <v>92</v>
      </c>
    </row>
    <row r="8" spans="1:15">
      <c r="B8" s="2" t="s">
        <v>88</v>
      </c>
    </row>
    <row r="9" spans="1:15">
      <c r="B9" s="2" t="s">
        <v>93</v>
      </c>
      <c r="L9" s="22"/>
    </row>
    <row r="11" spans="1:15">
      <c r="B11" s="2" t="s">
        <v>94</v>
      </c>
    </row>
    <row r="12" spans="1:15">
      <c r="B12" s="2" t="s">
        <v>95</v>
      </c>
    </row>
    <row r="14" spans="1:15">
      <c r="M14" s="17"/>
    </row>
    <row r="15" spans="1:15" ht="15.75" thickBot="1">
      <c r="B15" s="20" t="s">
        <v>68</v>
      </c>
      <c r="C15" s="50"/>
      <c r="D15" s="50"/>
      <c r="M15" s="17"/>
    </row>
    <row r="16" spans="1:15" ht="30.75" customHeight="1" thickBot="1">
      <c r="B16" s="327" t="s">
        <v>52</v>
      </c>
      <c r="C16" s="334" t="s">
        <v>39</v>
      </c>
      <c r="D16" s="329" t="s">
        <v>87</v>
      </c>
      <c r="E16" s="331" t="s">
        <v>182</v>
      </c>
      <c r="F16" s="332"/>
      <c r="G16" s="332"/>
      <c r="H16" s="332"/>
      <c r="I16" s="332"/>
      <c r="J16" s="333"/>
      <c r="K16" s="82"/>
      <c r="M16" s="324" t="s">
        <v>86</v>
      </c>
      <c r="N16" s="325"/>
      <c r="O16" s="326"/>
    </row>
    <row r="17" spans="2:24" ht="62.25" customHeight="1" thickBot="1">
      <c r="B17" s="328"/>
      <c r="C17" s="335"/>
      <c r="D17" s="330"/>
      <c r="E17" s="282" t="s">
        <v>219</v>
      </c>
      <c r="F17" s="282" t="s">
        <v>209</v>
      </c>
      <c r="G17" s="242" t="s">
        <v>183</v>
      </c>
      <c r="H17" s="78" t="s">
        <v>80</v>
      </c>
      <c r="I17" s="78" t="s">
        <v>81</v>
      </c>
      <c r="J17" s="36" t="s">
        <v>82</v>
      </c>
      <c r="K17" s="79"/>
      <c r="M17" s="229" t="s">
        <v>83</v>
      </c>
      <c r="N17" s="230" t="s">
        <v>84</v>
      </c>
      <c r="O17" s="231" t="s">
        <v>85</v>
      </c>
      <c r="P17" s="261" t="s">
        <v>194</v>
      </c>
      <c r="U17" s="28" t="s">
        <v>46</v>
      </c>
      <c r="V17" s="53" t="s">
        <v>12</v>
      </c>
      <c r="W17" s="53" t="s">
        <v>55</v>
      </c>
      <c r="X17" s="54" t="s">
        <v>13</v>
      </c>
    </row>
    <row r="18" spans="2:24">
      <c r="B18" s="19" t="s">
        <v>51</v>
      </c>
      <c r="C18" s="44" t="s">
        <v>28</v>
      </c>
      <c r="D18" s="77">
        <f>'B-Future Load'!D15</f>
        <v>0</v>
      </c>
      <c r="E18" s="378"/>
      <c r="F18" s="378"/>
      <c r="G18" s="378"/>
      <c r="H18" s="378"/>
      <c r="I18" s="378"/>
      <c r="J18" s="75">
        <f>IF(SUM(E18:I18)&lt;=D18,D18-SUM(E18:I18),"Error")</f>
        <v>0</v>
      </c>
      <c r="K18" s="80"/>
      <c r="M18" s="228">
        <f>$U18*$V18*E18*60%*0.2266+U18*V18*F18*70%*0.2266+U18*V18*G18*10%*0.2266+U18*V18*H18*0%*0.2266+U18*V18*I18*51%*0.2266+U18*V18*J18*0.2266</f>
        <v>0</v>
      </c>
      <c r="N18" s="228">
        <f>$U18*W18*$E18*10%*0.2266+$U18*W18*$F18*80%*0.2266+$U18*W18*$G18*70%*0.2266+$U18*W18*$H18*0%*0.2266+$U18*W18*$I18*70%*0.2266+$U18*W18*$J18*0.2266</f>
        <v>0</v>
      </c>
      <c r="O18" s="228">
        <f>$U18*X18*$E18*20%*0.2266+$U18*X18*$F18*10%*0.2266+$U18*X18*$G18*10%*0.2266+$U18*X18*$H18*0%*0.2266+$U18*X18*$I18*24%*0.2266+$U18*X18*$J18*0.2266</f>
        <v>0</v>
      </c>
      <c r="P18" s="228">
        <f>$U18*$E18*85%*0.0833+$U18*$F18*100%*0.0833+$U18*$G18*100%*0.0833+$U18*$H18*40%*0.0833+$U18*$I18*100%*0.0833+$U18*$J18*0.0833</f>
        <v>0</v>
      </c>
      <c r="U18" s="262">
        <f>12.5%*U30+87.5%*0.78</f>
        <v>0.71499999999999997</v>
      </c>
      <c r="V18" s="24">
        <v>0.39</v>
      </c>
      <c r="W18" s="24">
        <v>5.88</v>
      </c>
      <c r="X18" s="55">
        <v>136</v>
      </c>
    </row>
    <row r="19" spans="2:24">
      <c r="B19" s="19" t="s">
        <v>51</v>
      </c>
      <c r="C19" s="18" t="s">
        <v>32</v>
      </c>
      <c r="D19" s="77">
        <f>'B-Future Load'!D16</f>
        <v>0</v>
      </c>
      <c r="E19" s="379"/>
      <c r="F19" s="379"/>
      <c r="G19" s="379"/>
      <c r="H19" s="379"/>
      <c r="I19" s="379"/>
      <c r="J19" s="75">
        <f>IF(SUM(E19:I19)&lt;=D19,D19-SUM(E19:I19),"Error")</f>
        <v>0</v>
      </c>
      <c r="K19" s="80"/>
      <c r="M19" s="76">
        <f>$U19*$V19*E19*60%*0.2266+U19*V19*F19*70%*0.2266+U19*V19*G19*10%*0.2266+U19*V19*H19*0%*0.2266+U19*V19*I19*51%*0.2266+U19*V19*J19*0.2266</f>
        <v>0</v>
      </c>
      <c r="N19" s="228">
        <f t="shared" ref="N19:N69" si="0">$U19*W19*$E19*10%*0.2266+$U19*W19*$F19*80%*0.2266+$U19*W19*$G19*70%*0.2266+$U19*W19*$H19*0%*0.2266+$U19*W19*$I19*70%*0.2266+$U19*W19*$J19*0.2266</f>
        <v>0</v>
      </c>
      <c r="O19" s="76">
        <f t="shared" ref="O19:O69" si="1">$U19*X19*$E19*20%*0.2266+$U19*X19*$F19*10%*0.2266+$U19*X19*$G19*10%*0.2266+$U19*X19*$H19*0%*0.2266+$U19*X19*$I19*24%*0.2266+$U19*X19*$J19*0.2266</f>
        <v>0</v>
      </c>
      <c r="P19" s="228">
        <f t="shared" ref="P19:P69" si="2">$U19*$E19*85%*0.0833+$U19*$F19*100%*0.0833+$U19*$G19*100%*0.0833+$U19*$H19*40%*0.0833+$U19*$I19*100%*0.0833+$U19*$J19*0.0833</f>
        <v>0</v>
      </c>
      <c r="U19" s="262">
        <f>12.5%*U31+87.5%*2.23</f>
        <v>2.125</v>
      </c>
      <c r="V19" s="24">
        <v>0.39</v>
      </c>
      <c r="W19" s="24">
        <v>5.88</v>
      </c>
      <c r="X19" s="56">
        <v>136</v>
      </c>
    </row>
    <row r="20" spans="2:24">
      <c r="B20" s="19" t="s">
        <v>70</v>
      </c>
      <c r="C20" s="18" t="s">
        <v>33</v>
      </c>
      <c r="D20" s="77">
        <f>'B-Future Load'!D17</f>
        <v>0</v>
      </c>
      <c r="E20" s="379"/>
      <c r="F20" s="379"/>
      <c r="G20" s="379"/>
      <c r="H20" s="379"/>
      <c r="I20" s="379"/>
      <c r="J20" s="75">
        <f t="shared" ref="J20:J69" si="3">IF(SUM(E20:I20)&lt;=D20,D20-SUM(E20:I20),"Error")</f>
        <v>0</v>
      </c>
      <c r="K20" s="97"/>
      <c r="M20" s="76">
        <f t="shared" ref="M20:M69" si="4">$U20*$V20*E20*60%*0.2266+U20*V20*F20*70%*0.2266+U20*V20*G20*10%*0.2266+U20*V20*H20*0%*0.2266+U20*V20*I20*51%*0.2266+U20*V20*J20*0.2266</f>
        <v>0</v>
      </c>
      <c r="N20" s="228">
        <f t="shared" si="0"/>
        <v>0</v>
      </c>
      <c r="O20" s="76">
        <f t="shared" si="1"/>
        <v>0</v>
      </c>
      <c r="P20" s="228">
        <f t="shared" si="2"/>
        <v>0</v>
      </c>
      <c r="U20" s="262">
        <f>12.5%*U32+87.5%*4.27</f>
        <v>4.17875</v>
      </c>
      <c r="V20" s="24">
        <v>0.39</v>
      </c>
      <c r="W20" s="24">
        <v>5.88</v>
      </c>
      <c r="X20" s="56">
        <v>136</v>
      </c>
    </row>
    <row r="21" spans="2:24" ht="15.75" customHeight="1" thickBot="1">
      <c r="B21" s="42" t="s">
        <v>51</v>
      </c>
      <c r="C21" s="18" t="s">
        <v>36</v>
      </c>
      <c r="D21" s="77">
        <f>'B-Future Load'!D18</f>
        <v>0</v>
      </c>
      <c r="E21" s="379"/>
      <c r="F21" s="379"/>
      <c r="G21" s="379"/>
      <c r="H21" s="379"/>
      <c r="I21" s="379"/>
      <c r="J21" s="75">
        <f t="shared" si="3"/>
        <v>0</v>
      </c>
      <c r="K21" s="80"/>
      <c r="M21" s="76">
        <f t="shared" si="4"/>
        <v>0</v>
      </c>
      <c r="N21" s="228">
        <f t="shared" si="0"/>
        <v>0</v>
      </c>
      <c r="O21" s="76">
        <f t="shared" si="1"/>
        <v>0</v>
      </c>
      <c r="P21" s="228">
        <f t="shared" si="2"/>
        <v>0</v>
      </c>
      <c r="U21" s="263">
        <f>12.5%*U30+87.5%*5.67</f>
        <v>4.9937499999999995</v>
      </c>
      <c r="V21" s="26">
        <v>0.39</v>
      </c>
      <c r="W21" s="26">
        <v>5.88</v>
      </c>
      <c r="X21" s="57">
        <v>136</v>
      </c>
    </row>
    <row r="22" spans="2:24">
      <c r="B22" s="19" t="s">
        <v>53</v>
      </c>
      <c r="C22" s="18" t="s">
        <v>28</v>
      </c>
      <c r="D22" s="77">
        <f>'B-Future Load'!D19</f>
        <v>0</v>
      </c>
      <c r="E22" s="379"/>
      <c r="F22" s="379"/>
      <c r="G22" s="379"/>
      <c r="H22" s="379"/>
      <c r="I22" s="379"/>
      <c r="J22" s="75">
        <f t="shared" si="3"/>
        <v>0</v>
      </c>
      <c r="K22" s="80"/>
      <c r="M22" s="76">
        <f t="shared" si="4"/>
        <v>0</v>
      </c>
      <c r="N22" s="228">
        <f t="shared" si="0"/>
        <v>0</v>
      </c>
      <c r="O22" s="76">
        <f t="shared" si="1"/>
        <v>0</v>
      </c>
      <c r="P22" s="228">
        <f t="shared" si="2"/>
        <v>0</v>
      </c>
      <c r="U22" s="262">
        <f>16.5%*U30+83.5%*0.44</f>
        <v>0.4103</v>
      </c>
      <c r="V22" s="24">
        <v>0.39</v>
      </c>
      <c r="W22" s="24">
        <v>5.84</v>
      </c>
      <c r="X22" s="29">
        <v>133</v>
      </c>
    </row>
    <row r="23" spans="2:24">
      <c r="B23" s="19" t="s">
        <v>53</v>
      </c>
      <c r="C23" s="18" t="s">
        <v>32</v>
      </c>
      <c r="D23" s="77">
        <f>'B-Future Load'!D20</f>
        <v>0</v>
      </c>
      <c r="E23" s="379"/>
      <c r="F23" s="379"/>
      <c r="G23" s="379"/>
      <c r="H23" s="379"/>
      <c r="I23" s="379"/>
      <c r="J23" s="75">
        <f t="shared" si="3"/>
        <v>0</v>
      </c>
      <c r="K23" s="80"/>
      <c r="M23" s="76">
        <f t="shared" si="4"/>
        <v>0</v>
      </c>
      <c r="N23" s="228">
        <f t="shared" si="0"/>
        <v>0</v>
      </c>
      <c r="O23" s="76">
        <f t="shared" si="1"/>
        <v>0</v>
      </c>
      <c r="P23" s="228">
        <f t="shared" si="2"/>
        <v>0</v>
      </c>
      <c r="U23" s="262">
        <f>16.5%*U31+83.5%*1.51</f>
        <v>1.4902</v>
      </c>
      <c r="V23" s="24">
        <v>0.39</v>
      </c>
      <c r="W23" s="24">
        <v>5.84</v>
      </c>
      <c r="X23" s="29">
        <v>133</v>
      </c>
    </row>
    <row r="24" spans="2:24">
      <c r="B24" s="19" t="s">
        <v>53</v>
      </c>
      <c r="C24" s="18" t="s">
        <v>33</v>
      </c>
      <c r="D24" s="77">
        <f>'B-Future Load'!D21</f>
        <v>0</v>
      </c>
      <c r="E24" s="379"/>
      <c r="F24" s="379"/>
      <c r="G24" s="379"/>
      <c r="H24" s="379"/>
      <c r="I24" s="379"/>
      <c r="J24" s="75">
        <f t="shared" si="3"/>
        <v>0</v>
      </c>
      <c r="K24" s="80"/>
      <c r="M24" s="76">
        <f t="shared" si="4"/>
        <v>0</v>
      </c>
      <c r="N24" s="228">
        <f t="shared" si="0"/>
        <v>0</v>
      </c>
      <c r="O24" s="76">
        <f t="shared" si="1"/>
        <v>0</v>
      </c>
      <c r="P24" s="228">
        <f t="shared" si="2"/>
        <v>0</v>
      </c>
      <c r="U24" s="262">
        <f>16.5%*U32+83.5%*3.16</f>
        <v>3.2226999999999997</v>
      </c>
      <c r="V24" s="24">
        <v>0.39</v>
      </c>
      <c r="W24" s="24">
        <v>5.84</v>
      </c>
      <c r="X24" s="29">
        <v>133</v>
      </c>
    </row>
    <row r="25" spans="2:24" ht="15.75" thickBot="1">
      <c r="B25" s="42" t="s">
        <v>53</v>
      </c>
      <c r="C25" s="18" t="s">
        <v>36</v>
      </c>
      <c r="D25" s="77">
        <f>'B-Future Load'!D22</f>
        <v>0</v>
      </c>
      <c r="E25" s="379"/>
      <c r="F25" s="379"/>
      <c r="G25" s="379"/>
      <c r="H25" s="379"/>
      <c r="I25" s="379"/>
      <c r="J25" s="75">
        <f t="shared" si="3"/>
        <v>0</v>
      </c>
      <c r="K25" s="80"/>
      <c r="M25" s="76">
        <f t="shared" si="4"/>
        <v>0</v>
      </c>
      <c r="N25" s="228">
        <f t="shared" si="0"/>
        <v>0</v>
      </c>
      <c r="O25" s="76">
        <f t="shared" si="1"/>
        <v>0</v>
      </c>
      <c r="P25" s="228">
        <f t="shared" si="2"/>
        <v>0</v>
      </c>
      <c r="U25" s="262">
        <f>16.5%*U33+83.5%*5.67</f>
        <v>5.67</v>
      </c>
      <c r="V25" s="24">
        <v>0.39</v>
      </c>
      <c r="W25" s="24">
        <v>5.84</v>
      </c>
      <c r="X25" s="29">
        <v>133</v>
      </c>
    </row>
    <row r="26" spans="2:24">
      <c r="B26" s="19" t="s">
        <v>18</v>
      </c>
      <c r="C26" s="18" t="s">
        <v>28</v>
      </c>
      <c r="D26" s="77">
        <f>'B-Future Load'!D23</f>
        <v>0</v>
      </c>
      <c r="E26" s="379"/>
      <c r="F26" s="379"/>
      <c r="G26" s="379"/>
      <c r="H26" s="379"/>
      <c r="I26" s="379"/>
      <c r="J26" s="75">
        <f t="shared" si="3"/>
        <v>0</v>
      </c>
      <c r="K26" s="80"/>
      <c r="M26" s="76">
        <f t="shared" si="4"/>
        <v>0</v>
      </c>
      <c r="N26" s="228">
        <f t="shared" si="0"/>
        <v>0</v>
      </c>
      <c r="O26" s="76">
        <f t="shared" si="1"/>
        <v>0</v>
      </c>
      <c r="P26" s="228">
        <f t="shared" si="2"/>
        <v>0</v>
      </c>
      <c r="U26" s="264">
        <v>0.14000000000000001</v>
      </c>
      <c r="V26" s="23">
        <v>0.11</v>
      </c>
      <c r="W26" s="23">
        <v>1.74</v>
      </c>
      <c r="X26" s="30">
        <v>51</v>
      </c>
    </row>
    <row r="27" spans="2:24">
      <c r="B27" s="19" t="s">
        <v>18</v>
      </c>
      <c r="C27" s="18" t="s">
        <v>32</v>
      </c>
      <c r="D27" s="77">
        <f>'B-Future Load'!D24</f>
        <v>0</v>
      </c>
      <c r="E27" s="379"/>
      <c r="F27" s="379"/>
      <c r="G27" s="379"/>
      <c r="H27" s="379"/>
      <c r="I27" s="379"/>
      <c r="J27" s="75">
        <f t="shared" si="3"/>
        <v>0</v>
      </c>
      <c r="K27" s="80"/>
      <c r="M27" s="76">
        <f t="shared" si="4"/>
        <v>0</v>
      </c>
      <c r="N27" s="228">
        <f t="shared" si="0"/>
        <v>0</v>
      </c>
      <c r="O27" s="76">
        <f t="shared" si="1"/>
        <v>0</v>
      </c>
      <c r="P27" s="228">
        <f t="shared" si="2"/>
        <v>0</v>
      </c>
      <c r="U27" s="265">
        <v>1.27</v>
      </c>
      <c r="V27" s="25">
        <v>0.11</v>
      </c>
      <c r="W27" s="25">
        <v>1.74</v>
      </c>
      <c r="X27" s="31">
        <v>51</v>
      </c>
    </row>
    <row r="28" spans="2:24">
      <c r="B28" s="19" t="s">
        <v>18</v>
      </c>
      <c r="C28" s="18" t="s">
        <v>33</v>
      </c>
      <c r="D28" s="77">
        <f>'B-Future Load'!D25</f>
        <v>0</v>
      </c>
      <c r="E28" s="380"/>
      <c r="F28" s="380"/>
      <c r="G28" s="380"/>
      <c r="H28" s="380"/>
      <c r="I28" s="380"/>
      <c r="J28" s="75">
        <f t="shared" si="3"/>
        <v>0</v>
      </c>
      <c r="K28" s="80"/>
      <c r="M28" s="76">
        <f t="shared" si="4"/>
        <v>0</v>
      </c>
      <c r="N28" s="228">
        <f t="shared" si="0"/>
        <v>0</v>
      </c>
      <c r="O28" s="76">
        <f t="shared" si="1"/>
        <v>0</v>
      </c>
      <c r="P28" s="228">
        <f t="shared" si="2"/>
        <v>0</v>
      </c>
      <c r="U28" s="262">
        <v>3.23</v>
      </c>
      <c r="V28" s="25">
        <v>0.11</v>
      </c>
      <c r="W28" s="25">
        <v>1.74</v>
      </c>
      <c r="X28" s="31">
        <v>51</v>
      </c>
    </row>
    <row r="29" spans="2:24" ht="15.75" thickBot="1">
      <c r="B29" s="42" t="s">
        <v>18</v>
      </c>
      <c r="C29" s="18" t="s">
        <v>36</v>
      </c>
      <c r="D29" s="77">
        <f>'B-Future Load'!D26</f>
        <v>0</v>
      </c>
      <c r="E29" s="380"/>
      <c r="F29" s="380"/>
      <c r="G29" s="380"/>
      <c r="H29" s="380"/>
      <c r="I29" s="380"/>
      <c r="J29" s="75">
        <f t="shared" si="3"/>
        <v>0</v>
      </c>
      <c r="K29" s="80"/>
      <c r="M29" s="76">
        <f t="shared" si="4"/>
        <v>0</v>
      </c>
      <c r="N29" s="228">
        <f t="shared" si="0"/>
        <v>0</v>
      </c>
      <c r="O29" s="76">
        <f t="shared" si="1"/>
        <v>0</v>
      </c>
      <c r="P29" s="228">
        <f t="shared" si="2"/>
        <v>0</v>
      </c>
      <c r="U29" s="263">
        <v>5.15</v>
      </c>
      <c r="V29" s="27">
        <v>0.11</v>
      </c>
      <c r="W29" s="27">
        <v>1.74</v>
      </c>
      <c r="X29" s="32">
        <v>51</v>
      </c>
    </row>
    <row r="30" spans="2:24">
      <c r="B30" s="19" t="s">
        <v>49</v>
      </c>
      <c r="C30" s="18" t="s">
        <v>28</v>
      </c>
      <c r="D30" s="77">
        <f>'B-Future Load'!D27</f>
        <v>0</v>
      </c>
      <c r="E30" s="380"/>
      <c r="F30" s="380"/>
      <c r="G30" s="380"/>
      <c r="H30" s="380"/>
      <c r="I30" s="380"/>
      <c r="J30" s="75">
        <f t="shared" si="3"/>
        <v>0</v>
      </c>
      <c r="K30" s="80"/>
      <c r="M30" s="76">
        <f t="shared" si="4"/>
        <v>0</v>
      </c>
      <c r="N30" s="228">
        <f t="shared" si="0"/>
        <v>0</v>
      </c>
      <c r="O30" s="76">
        <f t="shared" si="1"/>
        <v>0</v>
      </c>
      <c r="P30" s="228">
        <f>$U30*$E30*85%*0.0833+$U30*$F30*100%*0.0833+$U30*$G30*100%*0.0833+$U30*$H30*40%*0.0833+$U30*$I30*100%*0.0833+$U30*$J30*0.0833</f>
        <v>0</v>
      </c>
      <c r="U30" s="262">
        <v>0.26</v>
      </c>
      <c r="V30" s="25">
        <v>0.52</v>
      </c>
      <c r="W30" s="25">
        <v>5.15</v>
      </c>
      <c r="X30" s="31">
        <v>70</v>
      </c>
    </row>
    <row r="31" spans="2:24">
      <c r="B31" s="19" t="s">
        <v>49</v>
      </c>
      <c r="C31" s="18" t="s">
        <v>32</v>
      </c>
      <c r="D31" s="77">
        <f>'B-Future Load'!D28</f>
        <v>0</v>
      </c>
      <c r="E31" s="380"/>
      <c r="F31" s="380"/>
      <c r="G31" s="380"/>
      <c r="H31" s="380"/>
      <c r="I31" s="380"/>
      <c r="J31" s="75">
        <f t="shared" si="3"/>
        <v>0</v>
      </c>
      <c r="K31" s="80"/>
      <c r="M31" s="76">
        <f t="shared" si="4"/>
        <v>0</v>
      </c>
      <c r="N31" s="228">
        <f t="shared" si="0"/>
        <v>0</v>
      </c>
      <c r="O31" s="76">
        <f t="shared" si="1"/>
        <v>0</v>
      </c>
      <c r="P31" s="228">
        <f>$U31*$E31*85%*0.0833+$U31*$F31*100%*0.0833+$U31*$G31*100%*0.0833+$U31*$H31*40%*0.0833+$U31*$I31*100%*0.0833+$U31*$J31*0.0833</f>
        <v>0</v>
      </c>
      <c r="U31" s="262">
        <v>1.39</v>
      </c>
      <c r="V31" s="25">
        <v>0.52</v>
      </c>
      <c r="W31" s="25">
        <v>5.15</v>
      </c>
      <c r="X31" s="31">
        <v>70</v>
      </c>
    </row>
    <row r="32" spans="2:24">
      <c r="B32" s="19" t="s">
        <v>49</v>
      </c>
      <c r="C32" s="18" t="s">
        <v>33</v>
      </c>
      <c r="D32" s="77">
        <f>'B-Future Load'!D29</f>
        <v>0</v>
      </c>
      <c r="E32" s="380"/>
      <c r="F32" s="380"/>
      <c r="G32" s="380"/>
      <c r="H32" s="380"/>
      <c r="I32" s="380"/>
      <c r="J32" s="75">
        <f t="shared" si="3"/>
        <v>0</v>
      </c>
      <c r="K32" s="80"/>
      <c r="M32" s="76">
        <f t="shared" si="4"/>
        <v>0</v>
      </c>
      <c r="N32" s="228">
        <f t="shared" si="0"/>
        <v>0</v>
      </c>
      <c r="O32" s="76">
        <f t="shared" si="1"/>
        <v>0</v>
      </c>
      <c r="P32" s="228">
        <f t="shared" si="2"/>
        <v>0</v>
      </c>
      <c r="U32" s="262">
        <v>3.54</v>
      </c>
      <c r="V32" s="25">
        <v>0.52</v>
      </c>
      <c r="W32" s="25">
        <v>5.15</v>
      </c>
      <c r="X32" s="31">
        <v>70</v>
      </c>
    </row>
    <row r="33" spans="2:24" ht="15.75" thickBot="1">
      <c r="B33" s="42" t="s">
        <v>49</v>
      </c>
      <c r="C33" s="18" t="s">
        <v>36</v>
      </c>
      <c r="D33" s="77">
        <f>'B-Future Load'!D30</f>
        <v>0</v>
      </c>
      <c r="E33" s="380"/>
      <c r="F33" s="380"/>
      <c r="G33" s="380"/>
      <c r="H33" s="380"/>
      <c r="I33" s="380"/>
      <c r="J33" s="75">
        <f t="shared" si="3"/>
        <v>0</v>
      </c>
      <c r="K33" s="80"/>
      <c r="M33" s="76">
        <f t="shared" si="4"/>
        <v>0</v>
      </c>
      <c r="N33" s="228">
        <f t="shared" si="0"/>
        <v>0</v>
      </c>
      <c r="O33" s="76">
        <f t="shared" si="1"/>
        <v>0</v>
      </c>
      <c r="P33" s="228">
        <f t="shared" si="2"/>
        <v>0</v>
      </c>
      <c r="U33" s="262">
        <v>5.67</v>
      </c>
      <c r="V33" s="25">
        <v>0.52</v>
      </c>
      <c r="W33" s="25">
        <v>5.15</v>
      </c>
      <c r="X33" s="31">
        <v>70</v>
      </c>
    </row>
    <row r="34" spans="2:24">
      <c r="B34" s="19" t="s">
        <v>44</v>
      </c>
      <c r="C34" s="18" t="s">
        <v>28</v>
      </c>
      <c r="D34" s="77">
        <f>'B-Future Load'!D31</f>
        <v>0</v>
      </c>
      <c r="E34" s="380"/>
      <c r="F34" s="380"/>
      <c r="G34" s="380"/>
      <c r="H34" s="380"/>
      <c r="I34" s="380"/>
      <c r="J34" s="75">
        <f t="shared" si="3"/>
        <v>0</v>
      </c>
      <c r="K34" s="80"/>
      <c r="M34" s="76">
        <f t="shared" si="4"/>
        <v>0</v>
      </c>
      <c r="N34" s="228">
        <f t="shared" si="0"/>
        <v>0</v>
      </c>
      <c r="O34" s="76">
        <f t="shared" si="1"/>
        <v>0</v>
      </c>
      <c r="P34" s="228">
        <f t="shared" si="2"/>
        <v>0</v>
      </c>
      <c r="U34" s="264">
        <v>0.56999999999999995</v>
      </c>
      <c r="V34" s="23">
        <v>0.52</v>
      </c>
      <c r="W34" s="23">
        <v>5.15</v>
      </c>
      <c r="X34" s="30">
        <v>70</v>
      </c>
    </row>
    <row r="35" spans="2:24">
      <c r="B35" s="19" t="s">
        <v>44</v>
      </c>
      <c r="C35" s="18" t="s">
        <v>32</v>
      </c>
      <c r="D35" s="77">
        <f>'B-Future Load'!D32</f>
        <v>0</v>
      </c>
      <c r="E35" s="380"/>
      <c r="F35" s="380"/>
      <c r="G35" s="380"/>
      <c r="H35" s="380"/>
      <c r="I35" s="380"/>
      <c r="J35" s="75">
        <f t="shared" si="3"/>
        <v>0</v>
      </c>
      <c r="K35" s="80"/>
      <c r="M35" s="76">
        <f t="shared" si="4"/>
        <v>0</v>
      </c>
      <c r="N35" s="228">
        <f t="shared" si="0"/>
        <v>0</v>
      </c>
      <c r="O35" s="76">
        <f t="shared" si="1"/>
        <v>0</v>
      </c>
      <c r="P35" s="228">
        <f t="shared" si="2"/>
        <v>0</v>
      </c>
      <c r="U35" s="262">
        <v>2.23</v>
      </c>
      <c r="V35" s="25">
        <v>0.52</v>
      </c>
      <c r="W35" s="25">
        <v>5.15</v>
      </c>
      <c r="X35" s="31">
        <v>70</v>
      </c>
    </row>
    <row r="36" spans="2:24">
      <c r="B36" s="19" t="s">
        <v>44</v>
      </c>
      <c r="C36" s="18" t="s">
        <v>33</v>
      </c>
      <c r="D36" s="77">
        <f>'B-Future Load'!D33</f>
        <v>0</v>
      </c>
      <c r="E36" s="380"/>
      <c r="F36" s="380"/>
      <c r="G36" s="380"/>
      <c r="H36" s="380"/>
      <c r="I36" s="380"/>
      <c r="J36" s="75">
        <f t="shared" si="3"/>
        <v>0</v>
      </c>
      <c r="K36" s="80"/>
      <c r="M36" s="76">
        <f t="shared" si="4"/>
        <v>0</v>
      </c>
      <c r="N36" s="228">
        <f t="shared" si="0"/>
        <v>0</v>
      </c>
      <c r="O36" s="76">
        <f t="shared" si="1"/>
        <v>0</v>
      </c>
      <c r="P36" s="228">
        <f t="shared" si="2"/>
        <v>0</v>
      </c>
      <c r="U36" s="262">
        <v>4.6900000000000004</v>
      </c>
      <c r="V36" s="25">
        <v>0.52</v>
      </c>
      <c r="W36" s="25">
        <v>5.15</v>
      </c>
      <c r="X36" s="31">
        <v>70</v>
      </c>
    </row>
    <row r="37" spans="2:24" ht="15.75" thickBot="1">
      <c r="B37" s="42" t="s">
        <v>44</v>
      </c>
      <c r="C37" s="18" t="s">
        <v>36</v>
      </c>
      <c r="D37" s="77">
        <f>'B-Future Load'!D34</f>
        <v>0</v>
      </c>
      <c r="E37" s="380"/>
      <c r="F37" s="380"/>
      <c r="G37" s="380"/>
      <c r="H37" s="380"/>
      <c r="I37" s="380"/>
      <c r="J37" s="75">
        <f t="shared" si="3"/>
        <v>0</v>
      </c>
      <c r="K37" s="80"/>
      <c r="M37" s="76">
        <f t="shared" si="4"/>
        <v>0</v>
      </c>
      <c r="N37" s="228">
        <f t="shared" si="0"/>
        <v>0</v>
      </c>
      <c r="O37" s="76">
        <f t="shared" si="1"/>
        <v>0</v>
      </c>
      <c r="P37" s="228">
        <f t="shared" si="2"/>
        <v>0</v>
      </c>
      <c r="U37" s="263">
        <v>6.88</v>
      </c>
      <c r="V37" s="27">
        <v>0.52</v>
      </c>
      <c r="W37" s="27">
        <v>5.15</v>
      </c>
      <c r="X37" s="32">
        <v>70</v>
      </c>
    </row>
    <row r="38" spans="2:24">
      <c r="B38" s="19" t="s">
        <v>50</v>
      </c>
      <c r="C38" s="18" t="s">
        <v>28</v>
      </c>
      <c r="D38" s="77">
        <f>'B-Future Load'!D35</f>
        <v>0</v>
      </c>
      <c r="E38" s="380"/>
      <c r="F38" s="380"/>
      <c r="G38" s="380"/>
      <c r="H38" s="380"/>
      <c r="I38" s="380"/>
      <c r="J38" s="75">
        <f t="shared" si="3"/>
        <v>0</v>
      </c>
      <c r="K38" s="80"/>
      <c r="M38" s="76">
        <f t="shared" si="4"/>
        <v>0</v>
      </c>
      <c r="N38" s="228">
        <f t="shared" si="0"/>
        <v>0</v>
      </c>
      <c r="O38" s="76">
        <f t="shared" si="1"/>
        <v>0</v>
      </c>
      <c r="P38" s="228">
        <f t="shared" si="2"/>
        <v>0</v>
      </c>
      <c r="U38" s="262">
        <v>1.85826771464</v>
      </c>
      <c r="V38" s="25">
        <v>0.24</v>
      </c>
      <c r="W38" s="25">
        <v>3.29</v>
      </c>
      <c r="X38" s="31">
        <v>97</v>
      </c>
    </row>
    <row r="39" spans="2:24">
      <c r="B39" s="19" t="s">
        <v>50</v>
      </c>
      <c r="C39" s="18" t="s">
        <v>32</v>
      </c>
      <c r="D39" s="77">
        <f>'B-Future Load'!D36</f>
        <v>0</v>
      </c>
      <c r="E39" s="380"/>
      <c r="F39" s="380"/>
      <c r="G39" s="380"/>
      <c r="H39" s="380"/>
      <c r="I39" s="380"/>
      <c r="J39" s="75">
        <f t="shared" si="3"/>
        <v>0</v>
      </c>
      <c r="K39" s="80"/>
      <c r="M39" s="76">
        <f t="shared" si="4"/>
        <v>0</v>
      </c>
      <c r="N39" s="228">
        <f t="shared" si="0"/>
        <v>0</v>
      </c>
      <c r="O39" s="76">
        <f t="shared" si="1"/>
        <v>0</v>
      </c>
      <c r="P39" s="228">
        <f t="shared" si="2"/>
        <v>0</v>
      </c>
      <c r="U39" s="262">
        <v>4.3499999999999996</v>
      </c>
      <c r="V39" s="25">
        <v>0.24</v>
      </c>
      <c r="W39" s="25">
        <v>3.29</v>
      </c>
      <c r="X39" s="31">
        <v>97</v>
      </c>
    </row>
    <row r="40" spans="2:24">
      <c r="B40" s="19" t="s">
        <v>50</v>
      </c>
      <c r="C40" s="18" t="s">
        <v>33</v>
      </c>
      <c r="D40" s="77">
        <f>'B-Future Load'!D37</f>
        <v>0</v>
      </c>
      <c r="E40" s="380"/>
      <c r="F40" s="380"/>
      <c r="G40" s="380"/>
      <c r="H40" s="380"/>
      <c r="I40" s="380"/>
      <c r="J40" s="75">
        <f t="shared" si="3"/>
        <v>0</v>
      </c>
      <c r="K40" s="80"/>
      <c r="M40" s="76">
        <f t="shared" si="4"/>
        <v>0</v>
      </c>
      <c r="N40" s="228">
        <f t="shared" si="0"/>
        <v>0</v>
      </c>
      <c r="O40" s="76">
        <f t="shared" si="1"/>
        <v>0</v>
      </c>
      <c r="P40" s="228">
        <f t="shared" si="2"/>
        <v>0</v>
      </c>
      <c r="U40" s="262">
        <v>7.5511810946599995</v>
      </c>
      <c r="V40" s="25">
        <v>0.24</v>
      </c>
      <c r="W40" s="25">
        <v>3.29</v>
      </c>
      <c r="X40" s="31">
        <v>97</v>
      </c>
    </row>
    <row r="41" spans="2:24" ht="15.75" thickBot="1">
      <c r="B41" s="42" t="s">
        <v>50</v>
      </c>
      <c r="C41" s="18" t="s">
        <v>36</v>
      </c>
      <c r="D41" s="77">
        <f>'B-Future Load'!D38</f>
        <v>0</v>
      </c>
      <c r="E41" s="380"/>
      <c r="F41" s="380"/>
      <c r="G41" s="380"/>
      <c r="H41" s="380"/>
      <c r="I41" s="380"/>
      <c r="J41" s="75">
        <f t="shared" si="3"/>
        <v>0</v>
      </c>
      <c r="K41" s="80"/>
      <c r="M41" s="76">
        <f t="shared" si="4"/>
        <v>0</v>
      </c>
      <c r="N41" s="228">
        <f t="shared" si="0"/>
        <v>0</v>
      </c>
      <c r="O41" s="76">
        <f t="shared" si="1"/>
        <v>0</v>
      </c>
      <c r="P41" s="228">
        <f t="shared" si="2"/>
        <v>0</v>
      </c>
      <c r="U41" s="262">
        <v>9.5500000000000007</v>
      </c>
      <c r="V41" s="25">
        <v>0.24</v>
      </c>
      <c r="W41" s="25">
        <v>3.29</v>
      </c>
      <c r="X41" s="31">
        <v>97</v>
      </c>
    </row>
    <row r="42" spans="2:24">
      <c r="B42" s="19" t="s">
        <v>17</v>
      </c>
      <c r="C42" s="18" t="s">
        <v>28</v>
      </c>
      <c r="D42" s="77">
        <f>'B-Future Load'!D39</f>
        <v>0</v>
      </c>
      <c r="E42" s="380"/>
      <c r="F42" s="380"/>
      <c r="G42" s="380"/>
      <c r="H42" s="380"/>
      <c r="I42" s="380"/>
      <c r="J42" s="75">
        <f t="shared" si="3"/>
        <v>0</v>
      </c>
      <c r="K42" s="80"/>
      <c r="M42" s="76">
        <f t="shared" si="4"/>
        <v>0</v>
      </c>
      <c r="N42" s="228">
        <f t="shared" si="0"/>
        <v>0</v>
      </c>
      <c r="O42" s="76">
        <f>$U42*X42*$E42*20%*0.2266+$U42*X42*$F42*10%*0.2266+$U42*X42*$G42*10%*0.2266+$U42*X42*$H42*0%*0.2266+$U42*X42*$I42*24%*0.2266+$U42*X42*$J42*0.2266</f>
        <v>0</v>
      </c>
      <c r="P42" s="228">
        <f t="shared" si="2"/>
        <v>0</v>
      </c>
      <c r="U42" s="264">
        <v>8.41</v>
      </c>
      <c r="V42" s="23">
        <v>0.33</v>
      </c>
      <c r="W42" s="23">
        <v>2.97</v>
      </c>
      <c r="X42" s="30">
        <v>77</v>
      </c>
    </row>
    <row r="43" spans="2:24">
      <c r="B43" s="19" t="s">
        <v>17</v>
      </c>
      <c r="C43" s="18" t="s">
        <v>32</v>
      </c>
      <c r="D43" s="77">
        <f>'B-Future Load'!D40</f>
        <v>0</v>
      </c>
      <c r="E43" s="380"/>
      <c r="F43" s="380"/>
      <c r="G43" s="380"/>
      <c r="H43" s="380"/>
      <c r="I43" s="380"/>
      <c r="J43" s="75">
        <f t="shared" si="3"/>
        <v>0</v>
      </c>
      <c r="K43" s="80"/>
      <c r="M43" s="76">
        <f t="shared" si="4"/>
        <v>0</v>
      </c>
      <c r="N43" s="228">
        <f t="shared" si="0"/>
        <v>0</v>
      </c>
      <c r="O43" s="76">
        <f t="shared" si="1"/>
        <v>0</v>
      </c>
      <c r="P43" s="228">
        <f t="shared" si="2"/>
        <v>0</v>
      </c>
      <c r="U43" s="262">
        <v>11.58</v>
      </c>
      <c r="V43" s="25">
        <v>0.33</v>
      </c>
      <c r="W43" s="25">
        <v>2.97</v>
      </c>
      <c r="X43" s="31">
        <v>77</v>
      </c>
    </row>
    <row r="44" spans="2:24">
      <c r="B44" s="19" t="s">
        <v>17</v>
      </c>
      <c r="C44" s="18" t="s">
        <v>33</v>
      </c>
      <c r="D44" s="77">
        <f>'B-Future Load'!D41</f>
        <v>0</v>
      </c>
      <c r="E44" s="380"/>
      <c r="F44" s="380"/>
      <c r="G44" s="380"/>
      <c r="H44" s="380"/>
      <c r="I44" s="380"/>
      <c r="J44" s="75">
        <f t="shared" si="3"/>
        <v>0</v>
      </c>
      <c r="K44" s="80"/>
      <c r="M44" s="76">
        <f t="shared" si="4"/>
        <v>0</v>
      </c>
      <c r="N44" s="228">
        <f t="shared" si="0"/>
        <v>0</v>
      </c>
      <c r="O44" s="76">
        <f t="shared" si="1"/>
        <v>0</v>
      </c>
      <c r="P44" s="228">
        <f t="shared" si="2"/>
        <v>0</v>
      </c>
      <c r="U44" s="262">
        <v>14.61</v>
      </c>
      <c r="V44" s="25">
        <v>0.33</v>
      </c>
      <c r="W44" s="25">
        <v>2.97</v>
      </c>
      <c r="X44" s="31">
        <v>77</v>
      </c>
    </row>
    <row r="45" spans="2:24" ht="15.75" thickBot="1">
      <c r="B45" s="42" t="s">
        <v>17</v>
      </c>
      <c r="C45" s="18" t="s">
        <v>36</v>
      </c>
      <c r="D45" s="77">
        <f>'B-Future Load'!D42</f>
        <v>0</v>
      </c>
      <c r="E45" s="380"/>
      <c r="F45" s="380"/>
      <c r="G45" s="380"/>
      <c r="H45" s="380"/>
      <c r="I45" s="380"/>
      <c r="J45" s="75">
        <f t="shared" si="3"/>
        <v>0</v>
      </c>
      <c r="K45" s="80"/>
      <c r="M45" s="76">
        <f t="shared" si="4"/>
        <v>0</v>
      </c>
      <c r="N45" s="228">
        <f t="shared" si="0"/>
        <v>0</v>
      </c>
      <c r="O45" s="76">
        <f t="shared" si="1"/>
        <v>0</v>
      </c>
      <c r="P45" s="228">
        <f t="shared" si="2"/>
        <v>0</v>
      </c>
      <c r="U45" s="263">
        <v>16.55</v>
      </c>
      <c r="V45" s="27">
        <v>0.33</v>
      </c>
      <c r="W45" s="27">
        <v>2.97</v>
      </c>
      <c r="X45" s="32">
        <v>77</v>
      </c>
    </row>
    <row r="46" spans="2:24">
      <c r="B46" s="19" t="s">
        <v>42</v>
      </c>
      <c r="C46" s="18" t="s">
        <v>28</v>
      </c>
      <c r="D46" s="77">
        <f>'B-Future Load'!D43</f>
        <v>0</v>
      </c>
      <c r="E46" s="380"/>
      <c r="F46" s="380"/>
      <c r="G46" s="380"/>
      <c r="H46" s="380"/>
      <c r="I46" s="380"/>
      <c r="J46" s="75">
        <f t="shared" si="3"/>
        <v>0</v>
      </c>
      <c r="K46" s="80"/>
      <c r="M46" s="76">
        <f t="shared" si="4"/>
        <v>0</v>
      </c>
      <c r="N46" s="228">
        <f t="shared" si="0"/>
        <v>0</v>
      </c>
      <c r="O46" s="76">
        <f t="shared" si="1"/>
        <v>0</v>
      </c>
      <c r="P46" s="228">
        <f t="shared" si="2"/>
        <v>0</v>
      </c>
      <c r="U46" s="262">
        <v>3.89</v>
      </c>
      <c r="V46" s="25">
        <v>0.32</v>
      </c>
      <c r="W46" s="25">
        <v>3.97</v>
      </c>
      <c r="X46" s="31">
        <v>149</v>
      </c>
    </row>
    <row r="47" spans="2:24">
      <c r="B47" s="19" t="s">
        <v>42</v>
      </c>
      <c r="C47" s="18" t="s">
        <v>32</v>
      </c>
      <c r="D47" s="77">
        <f>'B-Future Load'!D44</f>
        <v>0</v>
      </c>
      <c r="E47" s="380"/>
      <c r="F47" s="380"/>
      <c r="G47" s="380"/>
      <c r="H47" s="380"/>
      <c r="I47" s="380"/>
      <c r="J47" s="75">
        <f t="shared" si="3"/>
        <v>0</v>
      </c>
      <c r="K47" s="80"/>
      <c r="M47" s="76">
        <f t="shared" si="4"/>
        <v>0</v>
      </c>
      <c r="N47" s="228">
        <f t="shared" si="0"/>
        <v>0</v>
      </c>
      <c r="O47" s="76">
        <f t="shared" si="1"/>
        <v>0</v>
      </c>
      <c r="P47" s="228">
        <f t="shared" si="2"/>
        <v>0</v>
      </c>
      <c r="U47" s="265">
        <v>7.6</v>
      </c>
      <c r="V47" s="25">
        <v>0.32</v>
      </c>
      <c r="W47" s="25">
        <v>3.97</v>
      </c>
      <c r="X47" s="31">
        <v>149</v>
      </c>
    </row>
    <row r="48" spans="2:24">
      <c r="B48" s="19" t="s">
        <v>42</v>
      </c>
      <c r="C48" s="18" t="s">
        <v>33</v>
      </c>
      <c r="D48" s="77">
        <f>'B-Future Load'!D45</f>
        <v>0</v>
      </c>
      <c r="E48" s="380"/>
      <c r="F48" s="380"/>
      <c r="G48" s="380"/>
      <c r="H48" s="380"/>
      <c r="I48" s="380"/>
      <c r="J48" s="75">
        <f t="shared" si="3"/>
        <v>0</v>
      </c>
      <c r="K48" s="80"/>
      <c r="M48" s="76">
        <f t="shared" si="4"/>
        <v>0</v>
      </c>
      <c r="N48" s="228">
        <f t="shared" si="0"/>
        <v>0</v>
      </c>
      <c r="O48" s="76">
        <f t="shared" si="1"/>
        <v>0</v>
      </c>
      <c r="P48" s="228">
        <f t="shared" si="2"/>
        <v>0</v>
      </c>
      <c r="U48" s="262">
        <v>10.38</v>
      </c>
      <c r="V48" s="25">
        <v>0.32</v>
      </c>
      <c r="W48" s="25">
        <v>3.97</v>
      </c>
      <c r="X48" s="31">
        <v>149</v>
      </c>
    </row>
    <row r="49" spans="2:24" ht="15.75" thickBot="1">
      <c r="B49" s="37" t="s">
        <v>42</v>
      </c>
      <c r="C49" s="18" t="s">
        <v>36</v>
      </c>
      <c r="D49" s="77">
        <f>'B-Future Load'!D46</f>
        <v>0</v>
      </c>
      <c r="E49" s="380"/>
      <c r="F49" s="380"/>
      <c r="G49" s="380"/>
      <c r="H49" s="380"/>
      <c r="I49" s="380"/>
      <c r="J49" s="75">
        <f t="shared" si="3"/>
        <v>0</v>
      </c>
      <c r="K49" s="80"/>
      <c r="M49" s="76">
        <f t="shared" si="4"/>
        <v>0</v>
      </c>
      <c r="N49" s="228">
        <f t="shared" si="0"/>
        <v>0</v>
      </c>
      <c r="O49" s="76">
        <f t="shared" si="1"/>
        <v>0</v>
      </c>
      <c r="P49" s="228">
        <f t="shared" si="2"/>
        <v>0</v>
      </c>
      <c r="U49" s="266">
        <v>12.97</v>
      </c>
      <c r="V49" s="34">
        <v>0.32</v>
      </c>
      <c r="W49" s="34">
        <v>3.97</v>
      </c>
      <c r="X49" s="35">
        <v>149</v>
      </c>
    </row>
    <row r="50" spans="2:24">
      <c r="B50" s="39" t="s">
        <v>75</v>
      </c>
      <c r="C50" s="41" t="s">
        <v>28</v>
      </c>
      <c r="D50" s="77">
        <f>'B-Future Load'!D47</f>
        <v>0</v>
      </c>
      <c r="E50" s="380"/>
      <c r="F50" s="380"/>
      <c r="G50" s="380"/>
      <c r="H50" s="380"/>
      <c r="I50" s="380"/>
      <c r="J50" s="75">
        <f t="shared" si="3"/>
        <v>0</v>
      </c>
      <c r="K50" s="80"/>
      <c r="M50" s="76">
        <f t="shared" si="4"/>
        <v>0</v>
      </c>
      <c r="N50" s="228">
        <f t="shared" si="0"/>
        <v>0</v>
      </c>
      <c r="O50" s="76">
        <f t="shared" si="1"/>
        <v>0</v>
      </c>
      <c r="P50" s="228">
        <f t="shared" si="2"/>
        <v>0</v>
      </c>
      <c r="U50" s="262">
        <v>8.41</v>
      </c>
      <c r="V50" s="25">
        <v>0.43</v>
      </c>
      <c r="W50" s="25">
        <v>2.65</v>
      </c>
      <c r="X50" s="31">
        <v>141</v>
      </c>
    </row>
    <row r="51" spans="2:24">
      <c r="B51" s="39" t="s">
        <v>75</v>
      </c>
      <c r="C51" s="41" t="s">
        <v>32</v>
      </c>
      <c r="D51" s="77">
        <f>'B-Future Load'!D48</f>
        <v>0</v>
      </c>
      <c r="E51" s="380"/>
      <c r="F51" s="380"/>
      <c r="G51" s="380"/>
      <c r="H51" s="380"/>
      <c r="I51" s="380"/>
      <c r="J51" s="75">
        <f t="shared" si="3"/>
        <v>0</v>
      </c>
      <c r="K51" s="80"/>
      <c r="M51" s="76">
        <f t="shared" si="4"/>
        <v>0</v>
      </c>
      <c r="N51" s="228">
        <f t="shared" si="0"/>
        <v>0</v>
      </c>
      <c r="O51" s="76">
        <f t="shared" si="1"/>
        <v>0</v>
      </c>
      <c r="P51" s="228">
        <f t="shared" si="2"/>
        <v>0</v>
      </c>
      <c r="U51" s="262">
        <v>11.58</v>
      </c>
      <c r="V51" s="25">
        <v>0.43</v>
      </c>
      <c r="W51" s="25">
        <v>2.65</v>
      </c>
      <c r="X51" s="31">
        <v>141</v>
      </c>
    </row>
    <row r="52" spans="2:24">
      <c r="B52" s="39" t="s">
        <v>75</v>
      </c>
      <c r="C52" s="41" t="s">
        <v>33</v>
      </c>
      <c r="D52" s="77">
        <f>'B-Future Load'!D49</f>
        <v>0</v>
      </c>
      <c r="E52" s="380"/>
      <c r="F52" s="380"/>
      <c r="G52" s="380"/>
      <c r="H52" s="380"/>
      <c r="I52" s="380"/>
      <c r="J52" s="75">
        <f t="shared" si="3"/>
        <v>0</v>
      </c>
      <c r="K52" s="80"/>
      <c r="M52" s="76">
        <f t="shared" si="4"/>
        <v>0</v>
      </c>
      <c r="N52" s="228">
        <f t="shared" si="0"/>
        <v>0</v>
      </c>
      <c r="O52" s="76">
        <f t="shared" si="1"/>
        <v>0</v>
      </c>
      <c r="P52" s="228">
        <f t="shared" si="2"/>
        <v>0</v>
      </c>
      <c r="U52" s="262">
        <v>14.61</v>
      </c>
      <c r="V52" s="25">
        <v>0.43</v>
      </c>
      <c r="W52" s="25">
        <v>2.65</v>
      </c>
      <c r="X52" s="31">
        <v>141</v>
      </c>
    </row>
    <row r="53" spans="2:24" ht="15.75" thickBot="1">
      <c r="B53" s="43" t="s">
        <v>75</v>
      </c>
      <c r="C53" s="41" t="s">
        <v>36</v>
      </c>
      <c r="D53" s="77">
        <f>'B-Future Load'!D50</f>
        <v>0</v>
      </c>
      <c r="E53" s="380"/>
      <c r="F53" s="380"/>
      <c r="G53" s="380"/>
      <c r="H53" s="380"/>
      <c r="I53" s="380"/>
      <c r="J53" s="75">
        <f t="shared" si="3"/>
        <v>0</v>
      </c>
      <c r="K53" s="80"/>
      <c r="M53" s="76">
        <f t="shared" si="4"/>
        <v>0</v>
      </c>
      <c r="N53" s="228">
        <f t="shared" si="0"/>
        <v>0</v>
      </c>
      <c r="O53" s="76">
        <f t="shared" si="1"/>
        <v>0</v>
      </c>
      <c r="P53" s="228">
        <f t="shared" si="2"/>
        <v>0</v>
      </c>
      <c r="U53" s="262">
        <v>16.55</v>
      </c>
      <c r="V53" s="25">
        <v>0.43</v>
      </c>
      <c r="W53" s="25">
        <v>2.65</v>
      </c>
      <c r="X53" s="31">
        <v>141</v>
      </c>
    </row>
    <row r="54" spans="2:24">
      <c r="B54" s="39" t="s">
        <v>8</v>
      </c>
      <c r="C54" s="41" t="s">
        <v>28</v>
      </c>
      <c r="D54" s="77">
        <f>'B-Future Load'!D51</f>
        <v>0</v>
      </c>
      <c r="E54" s="380"/>
      <c r="F54" s="380"/>
      <c r="G54" s="380"/>
      <c r="H54" s="380"/>
      <c r="I54" s="380"/>
      <c r="J54" s="75">
        <f t="shared" si="3"/>
        <v>0</v>
      </c>
      <c r="K54" s="80"/>
      <c r="M54" s="76">
        <f t="shared" si="4"/>
        <v>0</v>
      </c>
      <c r="N54" s="228">
        <f t="shared" si="0"/>
        <v>0</v>
      </c>
      <c r="O54" s="76">
        <f t="shared" si="1"/>
        <v>0</v>
      </c>
      <c r="P54" s="228">
        <f t="shared" si="2"/>
        <v>0</v>
      </c>
      <c r="U54" s="264">
        <v>0</v>
      </c>
      <c r="V54" s="23">
        <v>0.11</v>
      </c>
      <c r="W54" s="23">
        <v>1.74</v>
      </c>
      <c r="X54" s="30">
        <v>51</v>
      </c>
    </row>
    <row r="55" spans="2:24">
      <c r="B55" s="39" t="s">
        <v>8</v>
      </c>
      <c r="C55" s="41" t="s">
        <v>32</v>
      </c>
      <c r="D55" s="77">
        <f>'B-Future Load'!D52</f>
        <v>0</v>
      </c>
      <c r="E55" s="380"/>
      <c r="F55" s="380"/>
      <c r="G55" s="380"/>
      <c r="H55" s="380"/>
      <c r="I55" s="380"/>
      <c r="J55" s="75">
        <f t="shared" si="3"/>
        <v>0</v>
      </c>
      <c r="K55" s="80"/>
      <c r="M55" s="76">
        <f t="shared" si="4"/>
        <v>0</v>
      </c>
      <c r="N55" s="228">
        <f t="shared" si="0"/>
        <v>0</v>
      </c>
      <c r="O55" s="76">
        <f t="shared" si="1"/>
        <v>0</v>
      </c>
      <c r="P55" s="228">
        <f t="shared" si="2"/>
        <v>0</v>
      </c>
      <c r="U55" s="262">
        <v>0.28999999999999998</v>
      </c>
      <c r="V55" s="25">
        <v>0.11</v>
      </c>
      <c r="W55" s="25">
        <v>1.74</v>
      </c>
      <c r="X55" s="31">
        <v>51</v>
      </c>
    </row>
    <row r="56" spans="2:24">
      <c r="B56" s="39" t="s">
        <v>8</v>
      </c>
      <c r="C56" s="41" t="s">
        <v>33</v>
      </c>
      <c r="D56" s="77">
        <f>'B-Future Load'!D53</f>
        <v>0</v>
      </c>
      <c r="E56" s="380"/>
      <c r="F56" s="380"/>
      <c r="G56" s="380"/>
      <c r="H56" s="380"/>
      <c r="I56" s="380"/>
      <c r="J56" s="75">
        <f t="shared" si="3"/>
        <v>0</v>
      </c>
      <c r="K56" s="80"/>
      <c r="M56" s="76">
        <f t="shared" si="4"/>
        <v>0</v>
      </c>
      <c r="N56" s="228">
        <f t="shared" si="0"/>
        <v>0</v>
      </c>
      <c r="O56" s="76">
        <f t="shared" si="1"/>
        <v>0</v>
      </c>
      <c r="P56" s="228">
        <f t="shared" si="2"/>
        <v>0</v>
      </c>
      <c r="U56" s="262">
        <v>1.39</v>
      </c>
      <c r="V56" s="25">
        <v>0.11</v>
      </c>
      <c r="W56" s="25">
        <v>1.74</v>
      </c>
      <c r="X56" s="31">
        <v>51</v>
      </c>
    </row>
    <row r="57" spans="2:24" ht="15.75" thickBot="1">
      <c r="B57" s="43" t="s">
        <v>8</v>
      </c>
      <c r="C57" s="41" t="s">
        <v>36</v>
      </c>
      <c r="D57" s="77">
        <f>'B-Future Load'!D54</f>
        <v>0</v>
      </c>
      <c r="E57" s="380"/>
      <c r="F57" s="380"/>
      <c r="G57" s="380"/>
      <c r="H57" s="380"/>
      <c r="I57" s="380"/>
      <c r="J57" s="75">
        <f t="shared" si="3"/>
        <v>0</v>
      </c>
      <c r="K57" s="80"/>
      <c r="M57" s="76">
        <f t="shared" si="4"/>
        <v>0</v>
      </c>
      <c r="N57" s="228">
        <f t="shared" si="0"/>
        <v>0</v>
      </c>
      <c r="O57" s="76">
        <f t="shared" si="1"/>
        <v>0</v>
      </c>
      <c r="P57" s="228">
        <f t="shared" si="2"/>
        <v>0</v>
      </c>
      <c r="U57" s="263">
        <v>2.68</v>
      </c>
      <c r="V57" s="27">
        <v>0.11</v>
      </c>
      <c r="W57" s="27">
        <v>1.74</v>
      </c>
      <c r="X57" s="32">
        <v>51</v>
      </c>
    </row>
    <row r="58" spans="2:24">
      <c r="B58" s="39" t="s">
        <v>38</v>
      </c>
      <c r="C58" s="41" t="s">
        <v>28</v>
      </c>
      <c r="D58" s="77">
        <f>'B-Future Load'!D55</f>
        <v>0</v>
      </c>
      <c r="E58" s="380"/>
      <c r="F58" s="380"/>
      <c r="G58" s="380"/>
      <c r="H58" s="380"/>
      <c r="I58" s="380"/>
      <c r="J58" s="75">
        <f t="shared" si="3"/>
        <v>0</v>
      </c>
      <c r="K58" s="80"/>
      <c r="M58" s="76">
        <f t="shared" si="4"/>
        <v>0</v>
      </c>
      <c r="N58" s="228">
        <f t="shared" si="0"/>
        <v>0</v>
      </c>
      <c r="O58" s="76">
        <f t="shared" si="1"/>
        <v>0</v>
      </c>
      <c r="P58" s="228">
        <f t="shared" si="2"/>
        <v>0</v>
      </c>
      <c r="U58" s="262">
        <v>0.03</v>
      </c>
      <c r="V58" s="25">
        <v>0.11</v>
      </c>
      <c r="W58" s="25">
        <v>1.74</v>
      </c>
      <c r="X58" s="31">
        <v>51</v>
      </c>
    </row>
    <row r="59" spans="2:24">
      <c r="B59" s="39" t="s">
        <v>38</v>
      </c>
      <c r="C59" s="41" t="s">
        <v>32</v>
      </c>
      <c r="D59" s="77">
        <f>'B-Future Load'!D56</f>
        <v>0</v>
      </c>
      <c r="E59" s="380"/>
      <c r="F59" s="380"/>
      <c r="G59" s="380"/>
      <c r="H59" s="380"/>
      <c r="I59" s="380"/>
      <c r="J59" s="75">
        <f t="shared" si="3"/>
        <v>0</v>
      </c>
      <c r="K59" s="80"/>
      <c r="M59" s="76">
        <f t="shared" si="4"/>
        <v>0</v>
      </c>
      <c r="N59" s="228">
        <f t="shared" si="0"/>
        <v>0</v>
      </c>
      <c r="O59" s="76">
        <f t="shared" si="1"/>
        <v>0</v>
      </c>
      <c r="P59" s="228">
        <f t="shared" si="2"/>
        <v>0</v>
      </c>
      <c r="U59" s="262">
        <v>0.56999999999999995</v>
      </c>
      <c r="V59" s="25">
        <v>0.11</v>
      </c>
      <c r="W59" s="25">
        <v>1.74</v>
      </c>
      <c r="X59" s="31">
        <v>51</v>
      </c>
    </row>
    <row r="60" spans="2:24">
      <c r="B60" s="39" t="s">
        <v>38</v>
      </c>
      <c r="C60" s="41" t="s">
        <v>33</v>
      </c>
      <c r="D60" s="77">
        <f>'B-Future Load'!D57</f>
        <v>0</v>
      </c>
      <c r="E60" s="380"/>
      <c r="F60" s="380"/>
      <c r="G60" s="380"/>
      <c r="H60" s="380"/>
      <c r="I60" s="380"/>
      <c r="J60" s="75">
        <f t="shared" si="3"/>
        <v>0</v>
      </c>
      <c r="K60" s="80"/>
      <c r="M60" s="76">
        <f t="shared" si="4"/>
        <v>0</v>
      </c>
      <c r="N60" s="228">
        <f t="shared" si="0"/>
        <v>0</v>
      </c>
      <c r="O60" s="76">
        <f t="shared" si="1"/>
        <v>0</v>
      </c>
      <c r="P60" s="228">
        <f t="shared" si="2"/>
        <v>0</v>
      </c>
      <c r="U60" s="262">
        <v>2.0299999999999998</v>
      </c>
      <c r="V60" s="25">
        <v>0.11</v>
      </c>
      <c r="W60" s="25">
        <v>1.74</v>
      </c>
      <c r="X60" s="31">
        <v>51</v>
      </c>
    </row>
    <row r="61" spans="2:24" ht="15.75" thickBot="1">
      <c r="B61" s="43" t="s">
        <v>38</v>
      </c>
      <c r="C61" s="41" t="s">
        <v>36</v>
      </c>
      <c r="D61" s="77">
        <f>'B-Future Load'!D58</f>
        <v>0</v>
      </c>
      <c r="E61" s="380"/>
      <c r="F61" s="380"/>
      <c r="G61" s="380"/>
      <c r="H61" s="380"/>
      <c r="I61" s="380"/>
      <c r="J61" s="75">
        <f t="shared" si="3"/>
        <v>0</v>
      </c>
      <c r="K61" s="80"/>
      <c r="M61" s="76">
        <f t="shared" si="4"/>
        <v>0</v>
      </c>
      <c r="N61" s="228">
        <f t="shared" si="0"/>
        <v>0</v>
      </c>
      <c r="O61" s="76">
        <f t="shared" si="1"/>
        <v>0</v>
      </c>
      <c r="P61" s="228">
        <f t="shared" si="2"/>
        <v>0</v>
      </c>
      <c r="U61" s="263">
        <v>3.54</v>
      </c>
      <c r="V61" s="25">
        <v>0.11</v>
      </c>
      <c r="W61" s="25">
        <v>1.74</v>
      </c>
      <c r="X61" s="31">
        <v>51</v>
      </c>
    </row>
    <row r="62" spans="2:24">
      <c r="B62" s="39" t="s">
        <v>16</v>
      </c>
      <c r="C62" s="41" t="s">
        <v>28</v>
      </c>
      <c r="D62" s="77">
        <f>'B-Future Load'!D59</f>
        <v>0</v>
      </c>
      <c r="E62" s="380"/>
      <c r="F62" s="380"/>
      <c r="G62" s="380"/>
      <c r="H62" s="380"/>
      <c r="I62" s="380"/>
      <c r="J62" s="75">
        <f t="shared" si="3"/>
        <v>0</v>
      </c>
      <c r="K62" s="80"/>
      <c r="M62" s="76">
        <f t="shared" si="4"/>
        <v>0</v>
      </c>
      <c r="N62" s="228">
        <f t="shared" si="0"/>
        <v>0</v>
      </c>
      <c r="O62" s="76">
        <f t="shared" si="1"/>
        <v>0</v>
      </c>
      <c r="P62" s="228">
        <f t="shared" si="2"/>
        <v>0</v>
      </c>
      <c r="U62" s="262">
        <v>0</v>
      </c>
      <c r="V62" s="25">
        <v>0.08</v>
      </c>
      <c r="W62" s="25">
        <v>1.38</v>
      </c>
      <c r="X62" s="31">
        <v>6</v>
      </c>
    </row>
    <row r="63" spans="2:24">
      <c r="B63" s="39" t="s">
        <v>16</v>
      </c>
      <c r="C63" s="41" t="s">
        <v>32</v>
      </c>
      <c r="D63" s="77">
        <f>'B-Future Load'!D60</f>
        <v>0</v>
      </c>
      <c r="E63" s="380"/>
      <c r="F63" s="380"/>
      <c r="G63" s="380"/>
      <c r="H63" s="380"/>
      <c r="I63" s="380"/>
      <c r="J63" s="75">
        <f t="shared" si="3"/>
        <v>0</v>
      </c>
      <c r="K63" s="80"/>
      <c r="M63" s="76">
        <f t="shared" si="4"/>
        <v>0</v>
      </c>
      <c r="N63" s="228">
        <f t="shared" si="0"/>
        <v>0</v>
      </c>
      <c r="O63" s="76">
        <f t="shared" si="1"/>
        <v>0</v>
      </c>
      <c r="P63" s="228">
        <f t="shared" si="2"/>
        <v>0</v>
      </c>
      <c r="U63" s="262">
        <v>0</v>
      </c>
      <c r="V63" s="25">
        <v>0.08</v>
      </c>
      <c r="W63" s="25">
        <v>1.38</v>
      </c>
      <c r="X63" s="31">
        <v>6</v>
      </c>
    </row>
    <row r="64" spans="2:24">
      <c r="B64" s="39" t="s">
        <v>16</v>
      </c>
      <c r="C64" s="41" t="s">
        <v>33</v>
      </c>
      <c r="D64" s="77">
        <f>'B-Future Load'!D61</f>
        <v>0</v>
      </c>
      <c r="E64" s="380"/>
      <c r="F64" s="380"/>
      <c r="G64" s="380"/>
      <c r="H64" s="380"/>
      <c r="I64" s="380"/>
      <c r="J64" s="75">
        <f t="shared" si="3"/>
        <v>0</v>
      </c>
      <c r="K64" s="80"/>
      <c r="M64" s="76">
        <f t="shared" si="4"/>
        <v>0</v>
      </c>
      <c r="N64" s="228">
        <f t="shared" si="0"/>
        <v>0</v>
      </c>
      <c r="O64" s="76">
        <f t="shared" si="1"/>
        <v>0</v>
      </c>
      <c r="P64" s="228">
        <f t="shared" si="2"/>
        <v>0</v>
      </c>
      <c r="U64" s="262">
        <v>0</v>
      </c>
      <c r="V64" s="25">
        <v>0.08</v>
      </c>
      <c r="W64" s="25">
        <v>1.38</v>
      </c>
      <c r="X64" s="31">
        <v>6</v>
      </c>
    </row>
    <row r="65" spans="2:24" ht="15.75" thickBot="1">
      <c r="B65" s="43" t="s">
        <v>16</v>
      </c>
      <c r="C65" s="41" t="s">
        <v>36</v>
      </c>
      <c r="D65" s="77">
        <f>'B-Future Load'!D62</f>
        <v>0</v>
      </c>
      <c r="E65" s="380"/>
      <c r="F65" s="380"/>
      <c r="G65" s="380"/>
      <c r="H65" s="380"/>
      <c r="I65" s="380"/>
      <c r="J65" s="75">
        <f t="shared" si="3"/>
        <v>0</v>
      </c>
      <c r="K65" s="80"/>
      <c r="M65" s="76">
        <f t="shared" si="4"/>
        <v>0</v>
      </c>
      <c r="N65" s="228">
        <f t="shared" si="0"/>
        <v>0</v>
      </c>
      <c r="O65" s="76">
        <f t="shared" si="1"/>
        <v>0</v>
      </c>
      <c r="P65" s="228">
        <f t="shared" si="2"/>
        <v>0</v>
      </c>
      <c r="U65" s="262">
        <v>0</v>
      </c>
      <c r="V65" s="25">
        <v>0.08</v>
      </c>
      <c r="W65" s="25">
        <v>1.38</v>
      </c>
      <c r="X65" s="31">
        <v>6</v>
      </c>
    </row>
    <row r="66" spans="2:24">
      <c r="B66" s="39" t="s">
        <v>9</v>
      </c>
      <c r="C66" s="41" t="s">
        <v>28</v>
      </c>
      <c r="D66" s="77">
        <f>'B-Future Load'!D63</f>
        <v>0</v>
      </c>
      <c r="E66" s="380"/>
      <c r="F66" s="380"/>
      <c r="G66" s="380"/>
      <c r="H66" s="380"/>
      <c r="I66" s="380"/>
      <c r="J66" s="75">
        <f t="shared" si="3"/>
        <v>0</v>
      </c>
      <c r="K66" s="80"/>
      <c r="M66" s="76">
        <f t="shared" si="4"/>
        <v>0</v>
      </c>
      <c r="N66" s="228">
        <f t="shared" si="0"/>
        <v>0</v>
      </c>
      <c r="O66" s="76">
        <f t="shared" si="1"/>
        <v>0</v>
      </c>
      <c r="P66" s="228">
        <f t="shared" si="2"/>
        <v>0</v>
      </c>
      <c r="U66" s="264">
        <v>0</v>
      </c>
      <c r="V66" s="23">
        <v>0.08</v>
      </c>
      <c r="W66" s="23">
        <v>1.38</v>
      </c>
      <c r="X66" s="30">
        <v>6</v>
      </c>
    </row>
    <row r="67" spans="2:24">
      <c r="B67" s="39" t="s">
        <v>9</v>
      </c>
      <c r="C67" s="41" t="s">
        <v>32</v>
      </c>
      <c r="D67" s="77">
        <f>'B-Future Load'!D64</f>
        <v>0</v>
      </c>
      <c r="E67" s="380"/>
      <c r="F67" s="380"/>
      <c r="G67" s="380"/>
      <c r="H67" s="380"/>
      <c r="I67" s="380"/>
      <c r="J67" s="75">
        <f t="shared" si="3"/>
        <v>0</v>
      </c>
      <c r="K67" s="80"/>
      <c r="M67" s="76">
        <f t="shared" si="4"/>
        <v>0</v>
      </c>
      <c r="N67" s="228">
        <f t="shared" si="0"/>
        <v>0</v>
      </c>
      <c r="O67" s="76">
        <f t="shared" si="1"/>
        <v>0</v>
      </c>
      <c r="P67" s="228">
        <f t="shared" si="2"/>
        <v>0</v>
      </c>
      <c r="U67" s="262">
        <v>0</v>
      </c>
      <c r="V67" s="25">
        <v>0.08</v>
      </c>
      <c r="W67" s="25">
        <v>1.38</v>
      </c>
      <c r="X67" s="31">
        <v>6</v>
      </c>
    </row>
    <row r="68" spans="2:24">
      <c r="B68" s="39" t="s">
        <v>9</v>
      </c>
      <c r="C68" s="41" t="s">
        <v>33</v>
      </c>
      <c r="D68" s="77">
        <f>'B-Future Load'!D65</f>
        <v>0</v>
      </c>
      <c r="E68" s="380"/>
      <c r="F68" s="380"/>
      <c r="G68" s="380"/>
      <c r="H68" s="380"/>
      <c r="I68" s="380"/>
      <c r="J68" s="75">
        <f t="shared" si="3"/>
        <v>0</v>
      </c>
      <c r="K68" s="80"/>
      <c r="M68" s="76">
        <f t="shared" si="4"/>
        <v>0</v>
      </c>
      <c r="N68" s="228">
        <f t="shared" si="0"/>
        <v>0</v>
      </c>
      <c r="O68" s="76">
        <f t="shared" si="1"/>
        <v>0</v>
      </c>
      <c r="P68" s="228">
        <f t="shared" si="2"/>
        <v>0</v>
      </c>
      <c r="U68" s="262">
        <v>0</v>
      </c>
      <c r="V68" s="25">
        <v>0.08</v>
      </c>
      <c r="W68" s="25">
        <v>1.38</v>
      </c>
      <c r="X68" s="31">
        <v>6</v>
      </c>
    </row>
    <row r="69" spans="2:24" ht="15.75" thickBot="1">
      <c r="B69" s="40" t="s">
        <v>9</v>
      </c>
      <c r="C69" s="41" t="s">
        <v>36</v>
      </c>
      <c r="D69" s="77">
        <f>'B-Future Load'!D66</f>
        <v>0</v>
      </c>
      <c r="E69" s="380"/>
      <c r="F69" s="380"/>
      <c r="G69" s="380"/>
      <c r="H69" s="380"/>
      <c r="I69" s="380"/>
      <c r="J69" s="75">
        <f t="shared" si="3"/>
        <v>0</v>
      </c>
      <c r="K69" s="80"/>
      <c r="M69" s="76">
        <f t="shared" si="4"/>
        <v>0</v>
      </c>
      <c r="N69" s="228">
        <f t="shared" si="0"/>
        <v>0</v>
      </c>
      <c r="O69" s="76">
        <f t="shared" si="1"/>
        <v>0</v>
      </c>
      <c r="P69" s="228">
        <f t="shared" si="2"/>
        <v>0</v>
      </c>
      <c r="U69" s="263">
        <v>0</v>
      </c>
      <c r="V69" s="34">
        <v>0.08</v>
      </c>
      <c r="W69" s="34">
        <v>1.38</v>
      </c>
      <c r="X69" s="35">
        <v>6</v>
      </c>
    </row>
    <row r="70" spans="2:24">
      <c r="B70" s="14"/>
      <c r="C70" s="98"/>
      <c r="D70" s="16"/>
      <c r="E70" s="17"/>
      <c r="F70" s="17"/>
      <c r="G70" s="17"/>
      <c r="H70" s="17"/>
      <c r="I70" s="17"/>
      <c r="J70" s="17"/>
      <c r="K70" s="17"/>
    </row>
    <row r="71" spans="2:24" ht="15.75" thickBot="1">
      <c r="B71" s="14"/>
      <c r="D71" s="16"/>
      <c r="E71" s="17"/>
      <c r="F71" s="17"/>
      <c r="G71" s="17"/>
      <c r="H71" s="17"/>
      <c r="I71" s="17"/>
      <c r="J71" s="17"/>
      <c r="P71" s="83"/>
      <c r="Q71" s="91"/>
    </row>
    <row r="72" spans="2:24" ht="39.75" customHeight="1" thickBot="1">
      <c r="B72" s="336" t="s">
        <v>145</v>
      </c>
      <c r="C72" s="312"/>
      <c r="D72" s="337"/>
      <c r="E72" s="201">
        <f>SUM(E18:E69)</f>
        <v>0</v>
      </c>
      <c r="F72" s="201">
        <f>SUM(F18:F69)</f>
        <v>0</v>
      </c>
      <c r="G72" s="201">
        <f>SUM(G18:G69)</f>
        <v>0</v>
      </c>
      <c r="H72" s="201">
        <f>SUM(H18:H69)</f>
        <v>0</v>
      </c>
      <c r="I72" s="202">
        <f>SUM(I18:I69)</f>
        <v>0</v>
      </c>
      <c r="J72" s="81"/>
      <c r="M72" s="200" t="s">
        <v>149</v>
      </c>
      <c r="N72" s="163" t="s">
        <v>150</v>
      </c>
      <c r="O72" s="162" t="s">
        <v>151</v>
      </c>
      <c r="P72" s="162" t="s">
        <v>7</v>
      </c>
    </row>
    <row r="73" spans="2:24" ht="30.75" customHeight="1" thickBot="1">
      <c r="J73" s="81"/>
      <c r="L73" s="316" t="s">
        <v>129</v>
      </c>
      <c r="M73" s="271">
        <f>'A-Current Load'!F67</f>
        <v>0</v>
      </c>
      <c r="N73" s="247">
        <f>'A-Current Load'!G67</f>
        <v>0</v>
      </c>
      <c r="O73" s="247">
        <f>'A-Current Load'!H67</f>
        <v>0</v>
      </c>
      <c r="P73" s="248">
        <f>'A-Current Load'!E67</f>
        <v>0</v>
      </c>
      <c r="Q73" s="267" t="s">
        <v>187</v>
      </c>
    </row>
    <row r="74" spans="2:24" ht="36.75" customHeight="1">
      <c r="B74" s="321" t="s">
        <v>89</v>
      </c>
      <c r="C74" s="342" t="s">
        <v>14</v>
      </c>
      <c r="D74" s="343"/>
      <c r="E74" s="226">
        <f>E72*3000*'LOOKUP TABLES'!H7</f>
        <v>0</v>
      </c>
      <c r="F74" s="226">
        <f>F72*3000*'LOOKUP TABLES'!H8</f>
        <v>0</v>
      </c>
      <c r="G74" s="226">
        <f>G72*3000*'LOOKUP TABLES'!H9</f>
        <v>0</v>
      </c>
      <c r="H74" s="226">
        <f>H72*69914</f>
        <v>0</v>
      </c>
      <c r="I74" s="227">
        <f>I72*42254</f>
        <v>0</v>
      </c>
      <c r="J74" s="81"/>
      <c r="L74" s="317"/>
      <c r="M74" s="272">
        <f>'B-Future Load'!F69</f>
        <v>0</v>
      </c>
      <c r="N74" s="273">
        <f>'B-Future Load'!G69</f>
        <v>0</v>
      </c>
      <c r="O74" s="273">
        <f>'B-Future Load'!H69</f>
        <v>0</v>
      </c>
      <c r="P74" s="274">
        <f>'B-Future Load'!$E$69</f>
        <v>0</v>
      </c>
      <c r="Q74" s="268" t="s">
        <v>99</v>
      </c>
    </row>
    <row r="75" spans="2:24" ht="39" customHeight="1">
      <c r="B75" s="322"/>
      <c r="C75" s="340" t="s">
        <v>25</v>
      </c>
      <c r="D75" s="341"/>
      <c r="E75" s="180">
        <f>25%*E74</f>
        <v>0</v>
      </c>
      <c r="F75" s="180">
        <f>25%*F74</f>
        <v>0</v>
      </c>
      <c r="G75" s="180">
        <f>25%*G74</f>
        <v>0</v>
      </c>
      <c r="H75" s="180">
        <f>3%*H74</f>
        <v>0</v>
      </c>
      <c r="I75" s="181">
        <f>25%*I74</f>
        <v>0</v>
      </c>
      <c r="J75" s="17"/>
      <c r="K75" s="17"/>
      <c r="L75" s="317"/>
      <c r="M75" s="272">
        <f>SUM(M18:M69)</f>
        <v>0</v>
      </c>
      <c r="N75" s="273">
        <f>SUM(N18:N69)</f>
        <v>0</v>
      </c>
      <c r="O75" s="273">
        <f>SUM(O18:O69)</f>
        <v>0</v>
      </c>
      <c r="P75" s="274">
        <f>SUM(P18:P69)</f>
        <v>0</v>
      </c>
      <c r="Q75" s="269" t="s">
        <v>152</v>
      </c>
    </row>
    <row r="76" spans="2:24" ht="51" customHeight="1" thickBot="1">
      <c r="B76" s="322"/>
      <c r="C76" s="319" t="s">
        <v>26</v>
      </c>
      <c r="D76" s="320"/>
      <c r="E76" s="182"/>
      <c r="F76" s="182"/>
      <c r="G76" s="182"/>
      <c r="H76" s="182"/>
      <c r="I76" s="183"/>
      <c r="J76" s="17"/>
      <c r="K76" s="84"/>
      <c r="L76" s="318"/>
      <c r="M76" s="249">
        <f>ABS(M75-M74)</f>
        <v>0</v>
      </c>
      <c r="N76" s="249">
        <f t="shared" ref="N76:O76" si="5">ABS(N75-N74)</f>
        <v>0</v>
      </c>
      <c r="O76" s="249">
        <f t="shared" si="5"/>
        <v>0</v>
      </c>
      <c r="P76" s="249">
        <f>ABS(P75-P74)</f>
        <v>0</v>
      </c>
      <c r="Q76" s="270" t="s">
        <v>185</v>
      </c>
    </row>
    <row r="77" spans="2:24" ht="15.75" thickBot="1">
      <c r="B77" s="323"/>
      <c r="C77" s="338" t="s">
        <v>15</v>
      </c>
      <c r="D77" s="339"/>
      <c r="E77" s="203">
        <f>SUM(E74:E76)</f>
        <v>0</v>
      </c>
      <c r="F77" s="203">
        <f>SUM(F74:F76)</f>
        <v>0</v>
      </c>
      <c r="G77" s="203">
        <f>SUM(G74:G76)</f>
        <v>0</v>
      </c>
      <c r="H77" s="203">
        <f>SUM(H74:H76)</f>
        <v>0</v>
      </c>
      <c r="I77" s="204">
        <f>SUM(I74:I76)</f>
        <v>0</v>
      </c>
      <c r="J77" s="17"/>
      <c r="K77" s="17"/>
    </row>
    <row r="78" spans="2:24">
      <c r="B78" s="14"/>
      <c r="J78" s="17"/>
      <c r="K78" s="17"/>
    </row>
    <row r="86" ht="102.75" customHeight="1"/>
  </sheetData>
  <sheetProtection password="AFF9" sheet="1" objects="1" scenarios="1"/>
  <mergeCells count="12">
    <mergeCell ref="L73:L76"/>
    <mergeCell ref="C76:D76"/>
    <mergeCell ref="B74:B77"/>
    <mergeCell ref="M16:O16"/>
    <mergeCell ref="B16:B17"/>
    <mergeCell ref="D16:D17"/>
    <mergeCell ref="E16:J16"/>
    <mergeCell ref="C16:C17"/>
    <mergeCell ref="B72:D72"/>
    <mergeCell ref="C77:D77"/>
    <mergeCell ref="C75:D75"/>
    <mergeCell ref="C74:D74"/>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A2:M41"/>
  <sheetViews>
    <sheetView workbookViewId="0">
      <selection activeCell="D37" sqref="D37"/>
    </sheetView>
  </sheetViews>
  <sheetFormatPr defaultRowHeight="15"/>
  <cols>
    <col min="1" max="1" width="4.7109375" style="11" customWidth="1"/>
    <col min="2" max="2" width="9.140625" style="11"/>
    <col min="3" max="3" width="27" style="11" customWidth="1"/>
    <col min="4" max="4" width="14.7109375" style="11" customWidth="1"/>
    <col min="5" max="5" width="10" style="11" customWidth="1"/>
    <col min="6" max="6" width="12.42578125" style="11" customWidth="1"/>
    <col min="7" max="7" width="11.85546875" style="11" customWidth="1"/>
    <col min="8" max="8" width="10.5703125" style="11" bestFit="1" customWidth="1"/>
    <col min="9" max="9" width="9.140625" style="11"/>
    <col min="10" max="10" width="11.5703125" style="11" bestFit="1" customWidth="1"/>
    <col min="11" max="13" width="9.140625" style="11"/>
  </cols>
  <sheetData>
    <row r="2" spans="2:7" ht="20.25">
      <c r="B2" s="175" t="s">
        <v>173</v>
      </c>
    </row>
    <row r="3" spans="2:7" ht="20.25">
      <c r="B3" s="175" t="s">
        <v>156</v>
      </c>
    </row>
    <row r="4" spans="2:7" ht="20.25">
      <c r="B4" s="175"/>
    </row>
    <row r="5" spans="2:7">
      <c r="B5" s="11" t="s">
        <v>140</v>
      </c>
      <c r="D5" s="239">
        <f ca="1">NOW()</f>
        <v>40429.628384722222</v>
      </c>
      <c r="E5" s="186"/>
    </row>
    <row r="6" spans="2:7">
      <c r="B6" s="11" t="s">
        <v>143</v>
      </c>
      <c r="D6" s="185"/>
      <c r="E6" s="186"/>
    </row>
    <row r="7" spans="2:7">
      <c r="B7" s="11" t="s">
        <v>138</v>
      </c>
      <c r="D7" s="184">
        <f>'A-Current Load'!D67</f>
        <v>0</v>
      </c>
      <c r="E7" s="11" t="s">
        <v>139</v>
      </c>
    </row>
    <row r="8" spans="2:7">
      <c r="D8" s="179"/>
    </row>
    <row r="10" spans="2:7" ht="16.5" thickBot="1">
      <c r="B10" s="188" t="s">
        <v>157</v>
      </c>
      <c r="C10" s="187"/>
      <c r="D10" s="187"/>
      <c r="E10" s="187"/>
      <c r="F10" s="187"/>
      <c r="G10" s="187"/>
    </row>
    <row r="11" spans="2:7" ht="16.5" thickTop="1" thickBot="1"/>
    <row r="12" spans="2:7" ht="32.25" thickBot="1">
      <c r="D12" s="196" t="s">
        <v>134</v>
      </c>
      <c r="E12" s="195" t="s">
        <v>132</v>
      </c>
      <c r="F12" s="177" t="s">
        <v>135</v>
      </c>
      <c r="G12" s="178" t="s">
        <v>136</v>
      </c>
    </row>
    <row r="13" spans="2:7" ht="15.75" thickBot="1">
      <c r="D13" s="176" t="s">
        <v>131</v>
      </c>
      <c r="E13" s="176" t="s">
        <v>133</v>
      </c>
      <c r="F13" s="176" t="s">
        <v>133</v>
      </c>
      <c r="G13" s="176" t="s">
        <v>133</v>
      </c>
    </row>
    <row r="14" spans="2:7">
      <c r="B14" s="189" t="s">
        <v>137</v>
      </c>
      <c r="C14" s="190"/>
      <c r="D14" s="199">
        <f>'A-Current Load'!E67</f>
        <v>0</v>
      </c>
      <c r="E14" s="194">
        <f>'A-Current Load'!F67</f>
        <v>0</v>
      </c>
      <c r="F14" s="194">
        <f>'A-Current Load'!G67</f>
        <v>0</v>
      </c>
      <c r="G14" s="194">
        <f>'A-Current Load'!H67</f>
        <v>0</v>
      </c>
    </row>
    <row r="15" spans="2:7">
      <c r="B15" s="191" t="s">
        <v>141</v>
      </c>
      <c r="C15" s="192"/>
      <c r="D15" s="199">
        <f>'B-Future Load'!E69</f>
        <v>0</v>
      </c>
      <c r="E15" s="194">
        <f>'B-Future Load'!F69</f>
        <v>0</v>
      </c>
      <c r="F15" s="194">
        <f>'B-Future Load'!G69</f>
        <v>0</v>
      </c>
      <c r="G15" s="194">
        <f>'B-Future Load'!H69</f>
        <v>0</v>
      </c>
    </row>
    <row r="16" spans="2:7" ht="15.75" thickBot="1">
      <c r="B16" s="33" t="s">
        <v>142</v>
      </c>
      <c r="C16" s="193"/>
      <c r="D16" s="199">
        <f>'C-Apply BMP'!P75</f>
        <v>0</v>
      </c>
      <c r="E16" s="194">
        <f>'C-Apply BMP'!M75</f>
        <v>0</v>
      </c>
      <c r="F16" s="194">
        <f>'C-Apply BMP'!N74</f>
        <v>0</v>
      </c>
      <c r="G16" s="194">
        <f>'C-Apply BMP'!O74</f>
        <v>0</v>
      </c>
    </row>
    <row r="17" spans="2:10" ht="30.75" customHeight="1" thickBot="1">
      <c r="B17" s="344" t="s">
        <v>185</v>
      </c>
      <c r="C17" s="345"/>
      <c r="D17" s="194">
        <f>'C-Apply BMP'!P76</f>
        <v>0</v>
      </c>
      <c r="E17" s="194">
        <f>'C-Apply BMP'!M76</f>
        <v>0</v>
      </c>
      <c r="F17" s="194">
        <f>'C-Apply BMP'!N76</f>
        <v>0</v>
      </c>
      <c r="G17" s="194">
        <f>'C-Apply BMP'!O76</f>
        <v>0</v>
      </c>
    </row>
    <row r="20" spans="2:10" ht="16.5" thickBot="1">
      <c r="B20" s="188" t="s">
        <v>186</v>
      </c>
      <c r="C20" s="187"/>
      <c r="D20" s="187"/>
      <c r="E20" s="187"/>
      <c r="F20" s="187"/>
      <c r="G20" s="187"/>
      <c r="I20" s="236"/>
    </row>
    <row r="21" spans="2:10" ht="16.5" thickTop="1" thickBot="1"/>
    <row r="22" spans="2:10" ht="45.75" thickBot="1">
      <c r="D22" s="237" t="s">
        <v>144</v>
      </c>
      <c r="E22" s="238" t="s">
        <v>14</v>
      </c>
      <c r="F22" s="238" t="s">
        <v>163</v>
      </c>
      <c r="G22" s="205" t="s">
        <v>146</v>
      </c>
    </row>
    <row r="23" spans="2:10" ht="15.75" thickBot="1">
      <c r="D23" s="197" t="s">
        <v>147</v>
      </c>
      <c r="E23" s="198" t="s">
        <v>148</v>
      </c>
      <c r="F23" s="198" t="s">
        <v>148</v>
      </c>
      <c r="G23" s="198" t="s">
        <v>148</v>
      </c>
    </row>
    <row r="24" spans="2:10">
      <c r="B24" s="189" t="s">
        <v>205</v>
      </c>
      <c r="C24" s="190"/>
      <c r="D24" s="199">
        <f>'C-Apply BMP'!E72</f>
        <v>0</v>
      </c>
      <c r="E24" s="194">
        <f>'C-Apply BMP'!E74</f>
        <v>0</v>
      </c>
      <c r="F24" s="194">
        <f>'C-Apply BMP'!E75</f>
        <v>0</v>
      </c>
      <c r="G24" s="194">
        <f>'C-Apply BMP'!E77</f>
        <v>0</v>
      </c>
    </row>
    <row r="25" spans="2:10">
      <c r="B25" s="206" t="s">
        <v>208</v>
      </c>
      <c r="C25" s="207"/>
      <c r="D25" s="199">
        <f>'C-Apply BMP'!F72</f>
        <v>0</v>
      </c>
      <c r="E25" s="194">
        <f>'C-Apply BMP'!F74</f>
        <v>0</v>
      </c>
      <c r="F25" s="194">
        <f>'C-Apply BMP'!F75</f>
        <v>0</v>
      </c>
      <c r="G25" s="194">
        <f>'C-Apply BMP'!F77</f>
        <v>0</v>
      </c>
      <c r="J25" s="250"/>
    </row>
    <row r="26" spans="2:10">
      <c r="B26" s="206" t="s">
        <v>184</v>
      </c>
      <c r="C26" s="207"/>
      <c r="D26" s="199">
        <f>'C-Apply BMP'!G72</f>
        <v>0</v>
      </c>
      <c r="E26" s="194">
        <f>'C-Apply BMP'!G74</f>
        <v>0</v>
      </c>
      <c r="F26" s="194">
        <f>'C-Apply BMP'!G75</f>
        <v>0</v>
      </c>
      <c r="G26" s="194">
        <f>'C-Apply BMP'!G77</f>
        <v>0</v>
      </c>
    </row>
    <row r="27" spans="2:10">
      <c r="B27" s="206" t="s">
        <v>11</v>
      </c>
      <c r="C27" s="207"/>
      <c r="D27" s="199">
        <f>'C-Apply BMP'!H72</f>
        <v>0</v>
      </c>
      <c r="E27" s="194">
        <f>'C-Apply BMP'!H74</f>
        <v>0</v>
      </c>
      <c r="F27" s="194">
        <f>'C-Apply BMP'!H75</f>
        <v>0</v>
      </c>
      <c r="G27" s="194">
        <f>'C-Apply BMP'!H77</f>
        <v>0</v>
      </c>
      <c r="H27" s="250"/>
    </row>
    <row r="28" spans="2:10" ht="15.75" thickBot="1">
      <c r="B28" s="208" t="s">
        <v>23</v>
      </c>
      <c r="C28" s="209"/>
      <c r="D28" s="199">
        <f>'C-Apply BMP'!I72</f>
        <v>0</v>
      </c>
      <c r="E28" s="194">
        <f>'C-Apply BMP'!I74</f>
        <v>0</v>
      </c>
      <c r="F28" s="194">
        <f>'C-Apply BMP'!I75</f>
        <v>0</v>
      </c>
      <c r="G28" s="194">
        <f>'C-Apply BMP'!I77</f>
        <v>0</v>
      </c>
      <c r="I28" s="246"/>
    </row>
    <row r="29" spans="2:10" ht="15.75" thickBot="1"/>
    <row r="30" spans="2:10" ht="15.75" thickBot="1">
      <c r="C30" s="210" t="s">
        <v>10</v>
      </c>
      <c r="D30" s="211">
        <f>SUM(D24:D28)</f>
        <v>0</v>
      </c>
      <c r="E30" s="211">
        <f t="shared" ref="E30:F30" si="0">SUM(E24:E28)</f>
        <v>0</v>
      </c>
      <c r="F30" s="211">
        <f t="shared" si="0"/>
        <v>0</v>
      </c>
      <c r="G30" s="212">
        <f>SUM(G24:G28)</f>
        <v>0</v>
      </c>
    </row>
    <row r="33" spans="2:7" ht="16.5" thickBot="1">
      <c r="B33" s="188" t="s">
        <v>195</v>
      </c>
      <c r="C33" s="187"/>
      <c r="D33" s="187"/>
      <c r="E33" s="187"/>
      <c r="F33" s="187"/>
      <c r="G33" s="187"/>
    </row>
    <row r="34" spans="2:7" ht="16.5" thickTop="1" thickBot="1"/>
    <row r="35" spans="2:7" ht="32.25" thickBot="1">
      <c r="D35" s="196" t="s">
        <v>134</v>
      </c>
      <c r="E35" s="195" t="s">
        <v>132</v>
      </c>
      <c r="F35" s="177" t="s">
        <v>135</v>
      </c>
      <c r="G35" s="178" t="s">
        <v>136</v>
      </c>
    </row>
    <row r="36" spans="2:7" ht="15.75" thickBot="1">
      <c r="D36" s="198" t="s">
        <v>148</v>
      </c>
      <c r="E36" s="198" t="s">
        <v>148</v>
      </c>
      <c r="F36" s="198" t="s">
        <v>148</v>
      </c>
      <c r="G36" s="198" t="s">
        <v>148</v>
      </c>
    </row>
    <row r="37" spans="2:7">
      <c r="B37" s="189" t="s">
        <v>205</v>
      </c>
      <c r="C37" s="244"/>
      <c r="D37" s="194" t="e">
        <f>G24/$D$17</f>
        <v>#DIV/0!</v>
      </c>
      <c r="E37" s="194" t="e">
        <f>G24/$E$17</f>
        <v>#DIV/0!</v>
      </c>
      <c r="F37" s="194" t="e">
        <f>G24/$F$17</f>
        <v>#DIV/0!</v>
      </c>
      <c r="G37" s="194" t="e">
        <f>G24/$G$17</f>
        <v>#DIV/0!</v>
      </c>
    </row>
    <row r="38" spans="2:7">
      <c r="B38" s="206" t="s">
        <v>208</v>
      </c>
      <c r="C38" s="185"/>
      <c r="D38" s="194" t="e">
        <f>G25/$D$17</f>
        <v>#DIV/0!</v>
      </c>
      <c r="E38" s="194" t="e">
        <f>G25/$E$17</f>
        <v>#DIV/0!</v>
      </c>
      <c r="F38" s="194" t="e">
        <f t="shared" ref="F38:F41" si="1">G25/$F$17</f>
        <v>#DIV/0!</v>
      </c>
      <c r="G38" s="194" t="e">
        <f t="shared" ref="G38:G41" si="2">G25/$G$17</f>
        <v>#DIV/0!</v>
      </c>
    </row>
    <row r="39" spans="2:7">
      <c r="B39" s="206" t="s">
        <v>184</v>
      </c>
      <c r="C39" s="185"/>
      <c r="D39" s="194" t="e">
        <f>G26/$D$17</f>
        <v>#DIV/0!</v>
      </c>
      <c r="E39" s="194" t="e">
        <f>G26/$E$17</f>
        <v>#DIV/0!</v>
      </c>
      <c r="F39" s="194" t="e">
        <f>G26/$F$17</f>
        <v>#DIV/0!</v>
      </c>
      <c r="G39" s="194" t="e">
        <f t="shared" si="2"/>
        <v>#DIV/0!</v>
      </c>
    </row>
    <row r="40" spans="2:7">
      <c r="B40" s="206" t="s">
        <v>11</v>
      </c>
      <c r="C40" s="185"/>
      <c r="D40" s="194" t="e">
        <f>G27/$D$17</f>
        <v>#DIV/0!</v>
      </c>
      <c r="E40" s="194" t="e">
        <f>G27/$E$17</f>
        <v>#DIV/0!</v>
      </c>
      <c r="F40" s="194" t="e">
        <f t="shared" si="1"/>
        <v>#DIV/0!</v>
      </c>
      <c r="G40" s="194" t="e">
        <f t="shared" si="2"/>
        <v>#DIV/0!</v>
      </c>
    </row>
    <row r="41" spans="2:7" ht="15.75" thickBot="1">
      <c r="B41" s="208" t="s">
        <v>23</v>
      </c>
      <c r="C41" s="245"/>
      <c r="D41" s="194" t="e">
        <f>G28/$D$17</f>
        <v>#DIV/0!</v>
      </c>
      <c r="E41" s="194" t="e">
        <f t="shared" ref="E41" si="3">G28/$E$17</f>
        <v>#DIV/0!</v>
      </c>
      <c r="F41" s="194" t="e">
        <f t="shared" si="1"/>
        <v>#DIV/0!</v>
      </c>
      <c r="G41" s="194" t="e">
        <f t="shared" si="2"/>
        <v>#DIV/0!</v>
      </c>
    </row>
  </sheetData>
  <mergeCells count="1">
    <mergeCell ref="B17:C17"/>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dimension ref="B3:T106"/>
  <sheetViews>
    <sheetView tabSelected="1" zoomScale="90" zoomScaleNormal="90" workbookViewId="0">
      <selection activeCell="B17" sqref="B17:H17"/>
    </sheetView>
  </sheetViews>
  <sheetFormatPr defaultRowHeight="15.75"/>
  <cols>
    <col min="1" max="1" width="9.140625" style="101"/>
    <col min="2" max="2" width="28.5703125" style="101" customWidth="1"/>
    <col min="3" max="3" width="26.5703125" style="101" bestFit="1" customWidth="1"/>
    <col min="4" max="4" width="16.85546875" style="101" customWidth="1"/>
    <col min="5" max="5" width="14" style="101" customWidth="1"/>
    <col min="6" max="6" width="17.7109375" style="101" customWidth="1"/>
    <col min="7" max="7" width="19.7109375" style="101" customWidth="1"/>
    <col min="8" max="8" width="34" style="101" customWidth="1"/>
    <col min="9" max="9" width="13" style="101" customWidth="1"/>
    <col min="10" max="10" width="20.7109375" style="101" customWidth="1"/>
    <col min="11" max="11" width="13.140625" style="101" customWidth="1"/>
    <col min="12" max="12" width="12.42578125" style="101" customWidth="1"/>
    <col min="13" max="13" width="9.140625" style="101"/>
    <col min="14" max="16" width="11.85546875" style="101" customWidth="1"/>
    <col min="17" max="19" width="9.140625" style="101"/>
    <col min="20" max="20" width="22.28515625" style="101" bestFit="1" customWidth="1"/>
    <col min="21" max="21" width="31" style="101" bestFit="1" customWidth="1"/>
    <col min="22" max="22" width="31.140625" style="101" bestFit="1" customWidth="1"/>
    <col min="23" max="25" width="9.140625" style="101"/>
    <col min="26" max="26" width="17.28515625" style="101" bestFit="1" customWidth="1"/>
    <col min="27" max="28" width="9.140625" style="101"/>
    <col min="29" max="29" width="11.140625" style="101" customWidth="1"/>
    <col min="30" max="16384" width="9.140625" style="101"/>
  </cols>
  <sheetData>
    <row r="3" spans="2:20" ht="18.75">
      <c r="B3" s="156" t="s">
        <v>56</v>
      </c>
      <c r="C3" s="100"/>
      <c r="D3" s="100"/>
      <c r="E3" s="100"/>
      <c r="F3" s="100"/>
      <c r="G3" s="100"/>
      <c r="H3" s="100"/>
      <c r="J3" s="258" t="s">
        <v>190</v>
      </c>
      <c r="K3" s="258"/>
      <c r="L3" s="258"/>
      <c r="M3" s="258"/>
      <c r="N3" s="258"/>
      <c r="O3" s="258"/>
      <c r="P3" s="258"/>
      <c r="Q3" s="258"/>
      <c r="R3" s="258"/>
      <c r="S3" s="258"/>
      <c r="T3" s="292"/>
    </row>
    <row r="5" spans="2:20" ht="18.75" customHeight="1">
      <c r="C5" s="363" t="s">
        <v>120</v>
      </c>
      <c r="D5" s="363"/>
      <c r="E5" s="363"/>
      <c r="F5" s="363"/>
      <c r="G5" s="103" t="s">
        <v>121</v>
      </c>
      <c r="H5" s="361" t="s">
        <v>122</v>
      </c>
    </row>
    <row r="6" spans="2:20" ht="36" customHeight="1">
      <c r="B6" s="104" t="s">
        <v>19</v>
      </c>
      <c r="C6" s="105" t="s">
        <v>12</v>
      </c>
      <c r="D6" s="105" t="s">
        <v>55</v>
      </c>
      <c r="E6" s="105" t="s">
        <v>13</v>
      </c>
      <c r="F6" s="260" t="s">
        <v>193</v>
      </c>
      <c r="G6" s="106" t="s">
        <v>34</v>
      </c>
      <c r="H6" s="362"/>
      <c r="J6" s="284" t="s">
        <v>203</v>
      </c>
      <c r="K6" s="371" t="s">
        <v>204</v>
      </c>
      <c r="L6" s="371"/>
      <c r="M6" s="371"/>
      <c r="N6" s="371"/>
      <c r="O6" s="371"/>
      <c r="P6" s="371"/>
      <c r="Q6" s="371"/>
      <c r="R6" s="371"/>
      <c r="S6" s="371"/>
      <c r="T6" s="371"/>
    </row>
    <row r="7" spans="2:20" ht="15.75" customHeight="1">
      <c r="B7" s="154" t="s">
        <v>205</v>
      </c>
      <c r="C7" s="107">
        <v>0.4</v>
      </c>
      <c r="D7" s="107">
        <v>0.9</v>
      </c>
      <c r="E7" s="107">
        <v>0.8</v>
      </c>
      <c r="F7" s="259">
        <v>0.15</v>
      </c>
      <c r="G7" s="108">
        <v>3000</v>
      </c>
      <c r="H7" s="109">
        <f>IF('C-Apply BMP'!E72&lt;5,-0.4*'C-Apply BMP'!E72+3,1)</f>
        <v>3</v>
      </c>
      <c r="J7" s="374" t="s">
        <v>221</v>
      </c>
      <c r="K7" s="372" t="s">
        <v>220</v>
      </c>
      <c r="L7" s="372"/>
      <c r="M7" s="372"/>
      <c r="N7" s="372"/>
      <c r="O7" s="372"/>
      <c r="P7" s="372"/>
      <c r="Q7" s="372"/>
      <c r="R7" s="372"/>
      <c r="S7" s="372"/>
      <c r="T7" s="372"/>
    </row>
    <row r="8" spans="2:20">
      <c r="B8" s="154" t="s">
        <v>207</v>
      </c>
      <c r="C8" s="107">
        <v>0.3</v>
      </c>
      <c r="D8" s="107">
        <v>0.2</v>
      </c>
      <c r="E8" s="107">
        <v>0.9</v>
      </c>
      <c r="F8" s="259">
        <v>0</v>
      </c>
      <c r="G8" s="108">
        <v>3000</v>
      </c>
      <c r="H8" s="109">
        <f>IF('C-Apply BMP'!F72&lt;50,-0.01*'C-Apply BMP'!F72+2.1,IF('C-Apply BMP'!F72&lt;200,-0.0028*'C-Apply BMP'!F72+1.56,1))</f>
        <v>2.1</v>
      </c>
      <c r="J8" s="374"/>
      <c r="K8" s="372"/>
      <c r="L8" s="372"/>
      <c r="M8" s="372"/>
      <c r="N8" s="372"/>
      <c r="O8" s="372"/>
      <c r="P8" s="372"/>
      <c r="Q8" s="372"/>
      <c r="R8" s="372"/>
      <c r="S8" s="372"/>
      <c r="T8" s="372"/>
    </row>
    <row r="9" spans="2:20" ht="15.75" customHeight="1">
      <c r="B9" s="154" t="s">
        <v>206</v>
      </c>
      <c r="C9" s="107">
        <v>0.9</v>
      </c>
      <c r="D9" s="107">
        <v>0.3</v>
      </c>
      <c r="E9" s="107">
        <v>0.9</v>
      </c>
      <c r="F9" s="259">
        <v>0</v>
      </c>
      <c r="G9" s="108">
        <v>3000</v>
      </c>
      <c r="H9" s="109">
        <f>IF('C-Apply BMP'!G72&lt;50,-0.01*'C-Apply BMP'!G72+2.1,IF('C-Apply BMP'!G72&lt;200,-0.0028*'C-Apply BMP'!G72+1.56,1))</f>
        <v>2.1</v>
      </c>
      <c r="J9" s="374"/>
      <c r="K9" s="372"/>
      <c r="L9" s="372"/>
      <c r="M9" s="372"/>
      <c r="N9" s="372"/>
      <c r="O9" s="372"/>
      <c r="P9" s="372"/>
      <c r="Q9" s="372"/>
      <c r="R9" s="372"/>
      <c r="S9" s="372"/>
      <c r="T9" s="372"/>
    </row>
    <row r="10" spans="2:20" ht="18">
      <c r="B10" s="154" t="s">
        <v>175</v>
      </c>
      <c r="C10" s="107">
        <v>1</v>
      </c>
      <c r="D10" s="107">
        <v>1</v>
      </c>
      <c r="E10" s="107">
        <v>1</v>
      </c>
      <c r="F10" s="259">
        <v>0.4</v>
      </c>
      <c r="G10" s="110">
        <v>69914</v>
      </c>
      <c r="H10" s="111" t="s">
        <v>24</v>
      </c>
      <c r="J10" s="374"/>
      <c r="K10" s="372"/>
      <c r="L10" s="372"/>
      <c r="M10" s="372"/>
      <c r="N10" s="372"/>
      <c r="O10" s="372"/>
      <c r="P10" s="372"/>
      <c r="Q10" s="372"/>
      <c r="R10" s="372"/>
      <c r="S10" s="372"/>
      <c r="T10" s="372"/>
    </row>
    <row r="11" spans="2:20">
      <c r="B11" s="155" t="s">
        <v>23</v>
      </c>
      <c r="C11" s="107">
        <v>0.49</v>
      </c>
      <c r="D11" s="107">
        <v>0.3</v>
      </c>
      <c r="E11" s="107">
        <v>0.76</v>
      </c>
      <c r="F11" s="259">
        <v>0</v>
      </c>
      <c r="G11" s="108">
        <v>42254</v>
      </c>
      <c r="H11" s="108" t="s">
        <v>24</v>
      </c>
      <c r="J11" s="374"/>
      <c r="K11" s="372"/>
      <c r="L11" s="372"/>
      <c r="M11" s="372"/>
      <c r="N11" s="372"/>
      <c r="O11" s="372"/>
      <c r="P11" s="372"/>
      <c r="Q11" s="372"/>
      <c r="R11" s="372"/>
      <c r="S11" s="372"/>
      <c r="T11" s="372"/>
    </row>
    <row r="12" spans="2:20">
      <c r="J12" s="374"/>
      <c r="K12" s="372"/>
      <c r="L12" s="372"/>
      <c r="M12" s="372"/>
      <c r="N12" s="372"/>
      <c r="O12" s="372"/>
      <c r="P12" s="372"/>
      <c r="Q12" s="372"/>
      <c r="R12" s="372"/>
      <c r="S12" s="372"/>
      <c r="T12" s="372"/>
    </row>
    <row r="13" spans="2:20" ht="33.75" customHeight="1">
      <c r="B13" s="364" t="s">
        <v>176</v>
      </c>
      <c r="C13" s="364"/>
      <c r="D13" s="364"/>
      <c r="E13" s="364"/>
      <c r="F13" s="364"/>
      <c r="G13" s="364"/>
      <c r="H13" s="364"/>
      <c r="J13" s="373" t="s">
        <v>222</v>
      </c>
      <c r="K13" s="372" t="s">
        <v>223</v>
      </c>
      <c r="L13" s="372"/>
      <c r="M13" s="372"/>
      <c r="N13" s="372"/>
      <c r="O13" s="372"/>
      <c r="P13" s="372"/>
      <c r="Q13" s="372"/>
      <c r="R13" s="372"/>
      <c r="S13" s="372"/>
      <c r="T13" s="372"/>
    </row>
    <row r="14" spans="2:20" ht="34.5" customHeight="1">
      <c r="B14" s="365" t="s">
        <v>188</v>
      </c>
      <c r="C14" s="365"/>
      <c r="D14" s="365"/>
      <c r="E14" s="365"/>
      <c r="F14" s="365"/>
      <c r="G14" s="365"/>
      <c r="H14" s="365"/>
      <c r="J14" s="373"/>
      <c r="K14" s="372"/>
      <c r="L14" s="372"/>
      <c r="M14" s="372"/>
      <c r="N14" s="372"/>
      <c r="O14" s="372"/>
      <c r="P14" s="372"/>
      <c r="Q14" s="372"/>
      <c r="R14" s="372"/>
      <c r="S14" s="372"/>
      <c r="T14" s="372"/>
    </row>
    <row r="15" spans="2:20" ht="53.25" customHeight="1">
      <c r="B15" s="366" t="s">
        <v>189</v>
      </c>
      <c r="C15" s="366"/>
      <c r="D15" s="366"/>
      <c r="E15" s="366"/>
      <c r="F15" s="366"/>
      <c r="G15" s="366"/>
      <c r="H15" s="366"/>
      <c r="J15" s="284" t="s">
        <v>202</v>
      </c>
      <c r="K15" s="371" t="s">
        <v>224</v>
      </c>
      <c r="L15" s="371"/>
      <c r="M15" s="371"/>
      <c r="N15" s="371"/>
      <c r="O15" s="371"/>
      <c r="P15" s="371"/>
      <c r="Q15" s="371"/>
      <c r="R15" s="371"/>
      <c r="S15" s="371"/>
      <c r="T15" s="371"/>
    </row>
    <row r="16" spans="2:20" ht="39" customHeight="1">
      <c r="B16" s="367" t="s">
        <v>164</v>
      </c>
      <c r="C16" s="367"/>
      <c r="D16" s="367"/>
      <c r="E16" s="367"/>
      <c r="F16" s="367"/>
      <c r="G16" s="367"/>
      <c r="H16" s="367"/>
      <c r="J16" s="285" t="s">
        <v>23</v>
      </c>
      <c r="K16" s="371" t="s">
        <v>210</v>
      </c>
      <c r="L16" s="371"/>
      <c r="M16" s="371"/>
      <c r="N16" s="371"/>
      <c r="O16" s="371"/>
      <c r="P16" s="371"/>
      <c r="Q16" s="371"/>
      <c r="R16" s="371"/>
      <c r="S16" s="371"/>
      <c r="T16" s="371"/>
    </row>
    <row r="17" spans="2:20" ht="67.5" customHeight="1">
      <c r="B17" s="368" t="s">
        <v>178</v>
      </c>
      <c r="C17" s="368"/>
      <c r="D17" s="368"/>
      <c r="E17" s="368"/>
      <c r="F17" s="368"/>
      <c r="G17" s="368"/>
      <c r="H17" s="368"/>
    </row>
    <row r="18" spans="2:20" ht="25.5" customHeight="1">
      <c r="B18" s="368" t="s">
        <v>179</v>
      </c>
      <c r="C18" s="368"/>
      <c r="D18" s="368"/>
      <c r="E18" s="368"/>
      <c r="F18" s="368"/>
      <c r="G18" s="368"/>
      <c r="H18" s="368"/>
      <c r="I18" s="251"/>
      <c r="J18" s="101" t="s">
        <v>211</v>
      </c>
    </row>
    <row r="19" spans="2:20" ht="27.75" customHeight="1">
      <c r="B19" s="241" t="s">
        <v>177</v>
      </c>
      <c r="L19" s="251"/>
      <c r="M19" s="251"/>
      <c r="N19" s="251"/>
      <c r="O19" s="251"/>
      <c r="P19" s="251"/>
      <c r="Q19" s="251"/>
      <c r="R19" s="251"/>
    </row>
    <row r="20" spans="2:20" ht="25.5" customHeight="1">
      <c r="B20" s="114"/>
      <c r="C20" s="114"/>
      <c r="D20" s="114"/>
      <c r="E20" s="114"/>
      <c r="F20" s="114"/>
      <c r="G20" s="114"/>
      <c r="J20" s="219"/>
      <c r="K20" s="251"/>
      <c r="L20" s="251"/>
      <c r="M20" s="251"/>
      <c r="N20" s="251"/>
      <c r="O20" s="251"/>
      <c r="P20" s="251"/>
      <c r="Q20" s="251"/>
      <c r="R20" s="251"/>
    </row>
    <row r="21" spans="2:20">
      <c r="B21" s="159" t="s">
        <v>27</v>
      </c>
    </row>
    <row r="22" spans="2:20">
      <c r="B22" s="159"/>
    </row>
    <row r="23" spans="2:20">
      <c r="H23" s="114"/>
      <c r="I23" s="115"/>
      <c r="J23" s="116"/>
      <c r="L23" s="117"/>
      <c r="M23" s="117"/>
      <c r="N23" s="118"/>
      <c r="O23" s="114"/>
      <c r="P23" s="117"/>
      <c r="Q23" s="117"/>
    </row>
    <row r="24" spans="2:20" ht="18.75">
      <c r="B24" s="157" t="s">
        <v>76</v>
      </c>
      <c r="C24" s="119"/>
      <c r="D24" s="119"/>
      <c r="E24" s="119"/>
      <c r="F24" s="119"/>
      <c r="G24" s="119"/>
      <c r="H24" s="120"/>
      <c r="I24" s="121"/>
      <c r="J24" s="158" t="s">
        <v>57</v>
      </c>
      <c r="K24" s="102"/>
      <c r="L24" s="102"/>
      <c r="M24" s="102"/>
      <c r="N24" s="102"/>
      <c r="O24" s="102"/>
      <c r="P24" s="102"/>
      <c r="Q24" s="102"/>
      <c r="R24" s="102"/>
      <c r="S24" s="122"/>
      <c r="T24" s="122"/>
    </row>
    <row r="25" spans="2:20" ht="16.5" thickBot="1">
      <c r="H25" s="123"/>
      <c r="I25" s="121"/>
      <c r="J25" s="369" t="s">
        <v>28</v>
      </c>
      <c r="K25" s="370" t="s">
        <v>58</v>
      </c>
      <c r="L25" s="370"/>
      <c r="M25" s="370"/>
      <c r="N25" s="370"/>
      <c r="O25" s="370"/>
      <c r="P25" s="370"/>
      <c r="Q25" s="370"/>
      <c r="R25" s="360"/>
      <c r="S25" s="122"/>
      <c r="T25" s="122"/>
    </row>
    <row r="26" spans="2:20" ht="16.5" thickBot="1">
      <c r="B26" s="252" t="s">
        <v>39</v>
      </c>
      <c r="C26" s="253" t="s">
        <v>45</v>
      </c>
      <c r="D26" s="254" t="s">
        <v>46</v>
      </c>
      <c r="E26" s="255" t="s">
        <v>12</v>
      </c>
      <c r="F26" s="255" t="s">
        <v>55</v>
      </c>
      <c r="G26" s="255" t="s">
        <v>13</v>
      </c>
      <c r="H26" s="256" t="s">
        <v>101</v>
      </c>
      <c r="I26" s="114"/>
      <c r="J26" s="369"/>
      <c r="K26" s="360"/>
      <c r="L26" s="360"/>
      <c r="M26" s="360"/>
      <c r="N26" s="360"/>
      <c r="O26" s="360"/>
      <c r="P26" s="360"/>
      <c r="Q26" s="360"/>
      <c r="R26" s="360"/>
      <c r="S26" s="114"/>
      <c r="T26" s="114"/>
    </row>
    <row r="27" spans="2:20" ht="18" customHeight="1">
      <c r="B27" s="128" t="s">
        <v>28</v>
      </c>
      <c r="C27" s="129" t="s">
        <v>123</v>
      </c>
      <c r="D27" s="130">
        <f>12.5%*D39+87.5%*0.78</f>
        <v>0.71499999999999997</v>
      </c>
      <c r="E27" s="130">
        <f>12.5%*E39+87.5%*0.37</f>
        <v>0.38874999999999998</v>
      </c>
      <c r="F27" s="130">
        <f>12.5%*F39+87.5%*5.98</f>
        <v>5.8762499999999998</v>
      </c>
      <c r="G27" s="131">
        <f>12.5%*G39+87.5%*145</f>
        <v>135.625</v>
      </c>
      <c r="H27" s="354" t="s">
        <v>103</v>
      </c>
      <c r="I27" s="114"/>
      <c r="J27" s="369"/>
      <c r="K27" s="360"/>
      <c r="L27" s="360"/>
      <c r="M27" s="360"/>
      <c r="N27" s="360"/>
      <c r="O27" s="360"/>
      <c r="P27" s="360"/>
      <c r="Q27" s="360"/>
      <c r="R27" s="360"/>
      <c r="S27" s="114"/>
      <c r="T27" s="114"/>
    </row>
    <row r="28" spans="2:20" ht="18">
      <c r="B28" s="128" t="s">
        <v>32</v>
      </c>
      <c r="C28" s="129" t="s">
        <v>123</v>
      </c>
      <c r="D28" s="130">
        <f>12.5%*D40+87.5%*2.23</f>
        <v>2.125</v>
      </c>
      <c r="E28" s="130">
        <v>0.38874999999999998</v>
      </c>
      <c r="F28" s="130">
        <v>5.8762499999999998</v>
      </c>
      <c r="G28" s="131">
        <v>135.625</v>
      </c>
      <c r="H28" s="354"/>
      <c r="I28" s="114"/>
      <c r="J28" s="369"/>
      <c r="K28" s="360"/>
      <c r="L28" s="360"/>
      <c r="M28" s="360"/>
      <c r="N28" s="360"/>
      <c r="O28" s="360"/>
      <c r="P28" s="360"/>
      <c r="Q28" s="360"/>
      <c r="R28" s="360"/>
      <c r="S28" s="132"/>
      <c r="T28" s="132"/>
    </row>
    <row r="29" spans="2:20" ht="18">
      <c r="B29" s="128" t="s">
        <v>33</v>
      </c>
      <c r="C29" s="129" t="s">
        <v>123</v>
      </c>
      <c r="D29" s="130">
        <f>12.5%*D41+87.5%*4.27</f>
        <v>4.17875</v>
      </c>
      <c r="E29" s="130">
        <v>0.38874999999999998</v>
      </c>
      <c r="F29" s="130">
        <v>5.8762499999999998</v>
      </c>
      <c r="G29" s="131">
        <v>135.625</v>
      </c>
      <c r="H29" s="354"/>
      <c r="I29" s="133"/>
      <c r="J29" s="369"/>
      <c r="K29" s="360"/>
      <c r="L29" s="360"/>
      <c r="M29" s="360"/>
      <c r="N29" s="360"/>
      <c r="O29" s="360"/>
      <c r="P29" s="360"/>
      <c r="Q29" s="360"/>
      <c r="R29" s="360"/>
      <c r="S29" s="135"/>
      <c r="T29" s="135"/>
    </row>
    <row r="30" spans="2:20" ht="18">
      <c r="B30" s="137" t="s">
        <v>36</v>
      </c>
      <c r="C30" s="142" t="s">
        <v>123</v>
      </c>
      <c r="D30" s="143">
        <f>12.5%*D39+87.5%*5.67</f>
        <v>4.9937499999999995</v>
      </c>
      <c r="E30" s="130">
        <v>0.38874999999999998</v>
      </c>
      <c r="F30" s="130">
        <v>5.8762499999999998</v>
      </c>
      <c r="G30" s="131">
        <v>135.625</v>
      </c>
      <c r="H30" s="355"/>
      <c r="I30" s="133"/>
      <c r="J30" s="369" t="s">
        <v>32</v>
      </c>
      <c r="K30" s="350" t="s">
        <v>180</v>
      </c>
      <c r="L30" s="350"/>
      <c r="M30" s="350"/>
      <c r="N30" s="350"/>
      <c r="O30" s="350"/>
      <c r="P30" s="350"/>
      <c r="Q30" s="350"/>
      <c r="R30" s="350"/>
      <c r="S30" s="135"/>
      <c r="T30" s="135"/>
    </row>
    <row r="31" spans="2:20" ht="18" customHeight="1">
      <c r="B31" s="128" t="s">
        <v>28</v>
      </c>
      <c r="C31" s="129" t="s">
        <v>124</v>
      </c>
      <c r="D31" s="130">
        <f>16.5%*D39+83.5%*0.44</f>
        <v>0.4103</v>
      </c>
      <c r="E31" s="126">
        <f>16.5%*E39+83.5%*0.37</f>
        <v>0.39474999999999999</v>
      </c>
      <c r="F31" s="126">
        <f>16.5%*F39+83.5%*5.98</f>
        <v>5.8430500000000007</v>
      </c>
      <c r="G31" s="127">
        <f>16.5%*G39+83.5%*145</f>
        <v>132.625</v>
      </c>
      <c r="H31" s="352" t="s">
        <v>102</v>
      </c>
      <c r="I31" s="138"/>
      <c r="J31" s="369"/>
      <c r="K31" s="350"/>
      <c r="L31" s="350"/>
      <c r="M31" s="350"/>
      <c r="N31" s="350"/>
      <c r="O31" s="350"/>
      <c r="P31" s="350"/>
      <c r="Q31" s="350"/>
      <c r="R31" s="350"/>
      <c r="S31" s="132"/>
      <c r="T31" s="139"/>
    </row>
    <row r="32" spans="2:20" ht="18">
      <c r="B32" s="128" t="s">
        <v>32</v>
      </c>
      <c r="C32" s="129" t="s">
        <v>124</v>
      </c>
      <c r="D32" s="130">
        <f>16.5%*D40+83.5%*1.51</f>
        <v>1.4902</v>
      </c>
      <c r="E32" s="130">
        <v>0.39474999999999999</v>
      </c>
      <c r="F32" s="130">
        <v>5.8430500000000007</v>
      </c>
      <c r="G32" s="131">
        <v>132.625</v>
      </c>
      <c r="H32" s="356"/>
      <c r="I32" s="138"/>
      <c r="J32" s="369"/>
      <c r="K32" s="350"/>
      <c r="L32" s="350"/>
      <c r="M32" s="350"/>
      <c r="N32" s="350"/>
      <c r="O32" s="350"/>
      <c r="P32" s="350"/>
      <c r="Q32" s="350"/>
      <c r="R32" s="350"/>
      <c r="S32" s="132"/>
      <c r="T32" s="139"/>
    </row>
    <row r="33" spans="2:20" ht="18">
      <c r="B33" s="128" t="s">
        <v>33</v>
      </c>
      <c r="C33" s="129" t="s">
        <v>124</v>
      </c>
      <c r="D33" s="130">
        <f>16.5%*D41+83.5%*3.16</f>
        <v>3.2226999999999997</v>
      </c>
      <c r="E33" s="130">
        <v>0.39474999999999999</v>
      </c>
      <c r="F33" s="130">
        <v>5.8430500000000007</v>
      </c>
      <c r="G33" s="131">
        <v>132.625</v>
      </c>
      <c r="H33" s="356"/>
      <c r="I33" s="138"/>
      <c r="J33" s="369"/>
      <c r="K33" s="350"/>
      <c r="L33" s="350"/>
      <c r="M33" s="350"/>
      <c r="N33" s="350"/>
      <c r="O33" s="350"/>
      <c r="P33" s="350"/>
      <c r="Q33" s="350"/>
      <c r="R33" s="350"/>
      <c r="S33" s="132"/>
      <c r="T33" s="139"/>
    </row>
    <row r="34" spans="2:20" ht="18">
      <c r="B34" s="128" t="s">
        <v>36</v>
      </c>
      <c r="C34" s="129" t="s">
        <v>124</v>
      </c>
      <c r="D34" s="130">
        <f>16.5%*D42+83.5%*5.67</f>
        <v>5.67</v>
      </c>
      <c r="E34" s="130">
        <v>0.39474999999999999</v>
      </c>
      <c r="F34" s="130">
        <v>5.8430500000000007</v>
      </c>
      <c r="G34" s="131">
        <v>132.625</v>
      </c>
      <c r="H34" s="357"/>
      <c r="I34" s="138"/>
      <c r="J34" s="369"/>
      <c r="K34" s="350"/>
      <c r="L34" s="350"/>
      <c r="M34" s="350"/>
      <c r="N34" s="350"/>
      <c r="O34" s="350"/>
      <c r="P34" s="350"/>
      <c r="Q34" s="350"/>
      <c r="R34" s="350"/>
      <c r="S34" s="132"/>
      <c r="T34" s="139"/>
    </row>
    <row r="35" spans="2:20" ht="15.75" customHeight="1">
      <c r="B35" s="124" t="s">
        <v>28</v>
      </c>
      <c r="C35" s="125" t="s">
        <v>18</v>
      </c>
      <c r="D35" s="126">
        <v>0.14000000000000001</v>
      </c>
      <c r="E35" s="140">
        <v>0.11</v>
      </c>
      <c r="F35" s="140">
        <v>1.74</v>
      </c>
      <c r="G35" s="140">
        <v>51</v>
      </c>
      <c r="H35" s="352" t="s">
        <v>104</v>
      </c>
      <c r="I35" s="138"/>
      <c r="J35" s="369" t="s">
        <v>33</v>
      </c>
      <c r="K35" s="350" t="s">
        <v>59</v>
      </c>
      <c r="L35" s="350"/>
      <c r="M35" s="350"/>
      <c r="N35" s="350"/>
      <c r="O35" s="350"/>
      <c r="P35" s="350"/>
      <c r="Q35" s="350"/>
      <c r="R35" s="350"/>
      <c r="S35" s="132"/>
      <c r="T35" s="139"/>
    </row>
    <row r="36" spans="2:20">
      <c r="B36" s="128" t="s">
        <v>32</v>
      </c>
      <c r="C36" s="129" t="s">
        <v>18</v>
      </c>
      <c r="D36" s="132">
        <v>1.27</v>
      </c>
      <c r="E36" s="141">
        <v>0.11</v>
      </c>
      <c r="F36" s="141">
        <v>1.74</v>
      </c>
      <c r="G36" s="141">
        <v>51</v>
      </c>
      <c r="H36" s="356"/>
      <c r="I36" s="138"/>
      <c r="J36" s="369"/>
      <c r="K36" s="350"/>
      <c r="L36" s="350"/>
      <c r="M36" s="350"/>
      <c r="N36" s="350"/>
      <c r="O36" s="350"/>
      <c r="P36" s="350"/>
      <c r="Q36" s="350"/>
      <c r="R36" s="350"/>
      <c r="S36" s="132"/>
      <c r="T36" s="139"/>
    </row>
    <row r="37" spans="2:20" ht="15.75" customHeight="1">
      <c r="B37" s="128" t="s">
        <v>33</v>
      </c>
      <c r="C37" s="129" t="s">
        <v>18</v>
      </c>
      <c r="D37" s="130">
        <v>3.23</v>
      </c>
      <c r="E37" s="141">
        <v>0.11</v>
      </c>
      <c r="F37" s="141">
        <v>1.74</v>
      </c>
      <c r="G37" s="141">
        <v>51</v>
      </c>
      <c r="H37" s="356"/>
      <c r="I37" s="138"/>
      <c r="J37" s="369"/>
      <c r="K37" s="350"/>
      <c r="L37" s="350"/>
      <c r="M37" s="350"/>
      <c r="N37" s="350"/>
      <c r="O37" s="350"/>
      <c r="P37" s="350"/>
      <c r="Q37" s="350"/>
      <c r="R37" s="350"/>
      <c r="S37" s="132"/>
      <c r="T37" s="139"/>
    </row>
    <row r="38" spans="2:20">
      <c r="B38" s="137" t="s">
        <v>36</v>
      </c>
      <c r="C38" s="129" t="s">
        <v>18</v>
      </c>
      <c r="D38" s="143">
        <v>5.15</v>
      </c>
      <c r="E38" s="144">
        <v>0.11</v>
      </c>
      <c r="F38" s="144">
        <v>1.74</v>
      </c>
      <c r="G38" s="144">
        <v>51</v>
      </c>
      <c r="H38" s="357"/>
      <c r="I38" s="138"/>
      <c r="J38" s="369"/>
      <c r="K38" s="350"/>
      <c r="L38" s="350"/>
      <c r="M38" s="350"/>
      <c r="N38" s="350"/>
      <c r="O38" s="350"/>
      <c r="P38" s="350"/>
      <c r="Q38" s="350"/>
      <c r="R38" s="350"/>
      <c r="S38" s="132"/>
      <c r="T38" s="139"/>
    </row>
    <row r="39" spans="2:20" ht="15.75" customHeight="1">
      <c r="B39" s="128" t="s">
        <v>28</v>
      </c>
      <c r="C39" s="125" t="s">
        <v>43</v>
      </c>
      <c r="D39" s="130">
        <v>0.26</v>
      </c>
      <c r="E39" s="141">
        <v>0.52</v>
      </c>
      <c r="F39" s="141">
        <v>5.15</v>
      </c>
      <c r="G39" s="141">
        <v>70</v>
      </c>
      <c r="H39" s="352" t="s">
        <v>105</v>
      </c>
      <c r="I39" s="138"/>
      <c r="J39" s="369"/>
      <c r="K39" s="350"/>
      <c r="L39" s="350"/>
      <c r="M39" s="350"/>
      <c r="N39" s="350"/>
      <c r="O39" s="350"/>
      <c r="P39" s="350"/>
      <c r="Q39" s="350"/>
      <c r="R39" s="350"/>
      <c r="S39" s="114"/>
      <c r="T39" s="114"/>
    </row>
    <row r="40" spans="2:20">
      <c r="B40" s="128" t="s">
        <v>32</v>
      </c>
      <c r="C40" s="129" t="s">
        <v>43</v>
      </c>
      <c r="D40" s="130">
        <v>1.39</v>
      </c>
      <c r="E40" s="141">
        <v>0.52</v>
      </c>
      <c r="F40" s="141">
        <v>5.15</v>
      </c>
      <c r="G40" s="141">
        <v>70</v>
      </c>
      <c r="H40" s="356"/>
      <c r="I40" s="138"/>
      <c r="J40" s="369"/>
      <c r="K40" s="350"/>
      <c r="L40" s="350"/>
      <c r="M40" s="350"/>
      <c r="N40" s="350"/>
      <c r="O40" s="350"/>
      <c r="P40" s="350"/>
      <c r="Q40" s="350"/>
      <c r="R40" s="350"/>
      <c r="S40" s="114"/>
      <c r="T40" s="114"/>
    </row>
    <row r="41" spans="2:20" ht="15.75" customHeight="1">
      <c r="B41" s="128" t="s">
        <v>33</v>
      </c>
      <c r="C41" s="129" t="s">
        <v>43</v>
      </c>
      <c r="D41" s="130">
        <v>3.54</v>
      </c>
      <c r="E41" s="141">
        <v>0.52</v>
      </c>
      <c r="F41" s="141">
        <v>5.15</v>
      </c>
      <c r="G41" s="141">
        <v>70</v>
      </c>
      <c r="H41" s="356"/>
      <c r="I41" s="138"/>
      <c r="J41" s="220" t="s">
        <v>36</v>
      </c>
      <c r="K41" s="350" t="s">
        <v>60</v>
      </c>
      <c r="L41" s="350"/>
      <c r="M41" s="350"/>
      <c r="N41" s="350"/>
      <c r="O41" s="350"/>
      <c r="P41" s="350"/>
      <c r="Q41" s="350"/>
      <c r="R41" s="350"/>
      <c r="S41" s="114"/>
      <c r="T41" s="114"/>
    </row>
    <row r="42" spans="2:20" ht="15.75" hidden="1" customHeight="1">
      <c r="B42" s="128" t="s">
        <v>36</v>
      </c>
      <c r="C42" s="129" t="s">
        <v>43</v>
      </c>
      <c r="D42" s="130">
        <v>5.67</v>
      </c>
      <c r="E42" s="141">
        <v>0.52</v>
      </c>
      <c r="F42" s="141">
        <v>5.15</v>
      </c>
      <c r="G42" s="141">
        <v>70</v>
      </c>
      <c r="H42" s="357"/>
      <c r="I42" s="138"/>
      <c r="J42" s="132"/>
      <c r="K42" s="350"/>
      <c r="L42" s="350"/>
      <c r="M42" s="350"/>
      <c r="N42" s="350"/>
      <c r="O42" s="350"/>
      <c r="P42" s="350"/>
      <c r="Q42" s="350"/>
      <c r="R42" s="350"/>
      <c r="S42" s="114"/>
      <c r="T42" s="114"/>
    </row>
    <row r="43" spans="2:20" ht="15.75" customHeight="1">
      <c r="B43" s="124" t="s">
        <v>28</v>
      </c>
      <c r="C43" s="125" t="s">
        <v>44</v>
      </c>
      <c r="D43" s="126">
        <v>0.56999999999999995</v>
      </c>
      <c r="E43" s="140">
        <v>0.52</v>
      </c>
      <c r="F43" s="140">
        <v>5.15</v>
      </c>
      <c r="G43" s="140">
        <v>70</v>
      </c>
      <c r="H43" s="352" t="s">
        <v>174</v>
      </c>
      <c r="I43" s="138"/>
      <c r="J43" s="132"/>
      <c r="K43" s="350"/>
      <c r="L43" s="350"/>
      <c r="M43" s="350"/>
      <c r="N43" s="350"/>
      <c r="O43" s="350"/>
      <c r="P43" s="350"/>
      <c r="Q43" s="350"/>
      <c r="R43" s="350"/>
      <c r="S43" s="117"/>
      <c r="T43" s="117"/>
    </row>
    <row r="44" spans="2:20">
      <c r="B44" s="128" t="s">
        <v>32</v>
      </c>
      <c r="C44" s="129" t="s">
        <v>44</v>
      </c>
      <c r="D44" s="130">
        <v>2.23</v>
      </c>
      <c r="E44" s="141">
        <v>0.52</v>
      </c>
      <c r="F44" s="141">
        <v>5.15</v>
      </c>
      <c r="G44" s="141">
        <v>70</v>
      </c>
      <c r="H44" s="356"/>
      <c r="I44" s="138"/>
      <c r="J44" s="132"/>
      <c r="K44" s="350"/>
      <c r="L44" s="350"/>
      <c r="M44" s="350"/>
      <c r="N44" s="350"/>
      <c r="O44" s="350"/>
      <c r="P44" s="350"/>
      <c r="Q44" s="350"/>
      <c r="R44" s="350"/>
      <c r="S44" s="117"/>
      <c r="T44" s="117"/>
    </row>
    <row r="45" spans="2:20">
      <c r="B45" s="128" t="s">
        <v>33</v>
      </c>
      <c r="C45" s="129" t="s">
        <v>44</v>
      </c>
      <c r="D45" s="130">
        <v>4.6900000000000004</v>
      </c>
      <c r="E45" s="141">
        <v>0.52</v>
      </c>
      <c r="F45" s="141">
        <v>5.15</v>
      </c>
      <c r="G45" s="141">
        <v>70</v>
      </c>
      <c r="H45" s="356"/>
      <c r="I45" s="138"/>
      <c r="J45" s="132"/>
      <c r="K45" s="117"/>
      <c r="L45" s="117"/>
      <c r="M45" s="117"/>
      <c r="N45" s="136"/>
      <c r="O45" s="114"/>
      <c r="P45" s="114"/>
      <c r="Q45" s="132"/>
      <c r="R45" s="117"/>
      <c r="S45" s="117"/>
      <c r="T45" s="117"/>
    </row>
    <row r="46" spans="2:20">
      <c r="B46" s="137" t="s">
        <v>36</v>
      </c>
      <c r="C46" s="142" t="s">
        <v>44</v>
      </c>
      <c r="D46" s="143">
        <v>6.88</v>
      </c>
      <c r="E46" s="144">
        <v>0.52</v>
      </c>
      <c r="F46" s="144">
        <v>5.15</v>
      </c>
      <c r="G46" s="144">
        <v>70</v>
      </c>
      <c r="H46" s="357"/>
      <c r="I46" s="138"/>
      <c r="J46" s="132"/>
      <c r="K46" s="117"/>
      <c r="L46" s="117"/>
      <c r="M46" s="117"/>
      <c r="N46" s="136"/>
      <c r="O46" s="114"/>
      <c r="P46" s="114"/>
      <c r="Q46" s="132"/>
      <c r="R46" s="117"/>
      <c r="S46" s="117"/>
      <c r="T46" s="117"/>
    </row>
    <row r="47" spans="2:20">
      <c r="B47" s="128" t="s">
        <v>28</v>
      </c>
      <c r="C47" s="129" t="s">
        <v>41</v>
      </c>
      <c r="D47" s="130">
        <v>1.85826771464</v>
      </c>
      <c r="E47" s="141">
        <v>0.24</v>
      </c>
      <c r="F47" s="141">
        <v>3.29</v>
      </c>
      <c r="G47" s="141">
        <v>97</v>
      </c>
      <c r="H47" s="346" t="s">
        <v>106</v>
      </c>
      <c r="I47" s="138"/>
      <c r="J47" s="132"/>
      <c r="K47" s="113" t="s">
        <v>61</v>
      </c>
      <c r="L47" s="117"/>
      <c r="M47" s="117"/>
      <c r="N47" s="136"/>
      <c r="O47" s="114"/>
      <c r="P47" s="114"/>
      <c r="Q47" s="132"/>
      <c r="R47" s="117"/>
      <c r="S47" s="117"/>
      <c r="T47" s="117"/>
    </row>
    <row r="48" spans="2:20">
      <c r="B48" s="128" t="s">
        <v>32</v>
      </c>
      <c r="C48" s="129" t="s">
        <v>41</v>
      </c>
      <c r="D48" s="130">
        <v>4.3499999999999996</v>
      </c>
      <c r="E48" s="141">
        <v>0.24</v>
      </c>
      <c r="F48" s="141">
        <v>3.29</v>
      </c>
      <c r="G48" s="141">
        <v>97</v>
      </c>
      <c r="H48" s="347"/>
      <c r="I48" s="138"/>
      <c r="J48" s="132"/>
      <c r="K48" s="117"/>
      <c r="L48" s="117"/>
      <c r="M48" s="117"/>
      <c r="N48" s="136"/>
      <c r="O48" s="114"/>
      <c r="P48" s="114"/>
      <c r="Q48" s="132"/>
      <c r="R48" s="117"/>
      <c r="S48" s="117"/>
      <c r="T48" s="117"/>
    </row>
    <row r="49" spans="2:20">
      <c r="B49" s="128" t="s">
        <v>33</v>
      </c>
      <c r="C49" s="129" t="s">
        <v>41</v>
      </c>
      <c r="D49" s="130">
        <v>7.5511810946599995</v>
      </c>
      <c r="E49" s="141">
        <v>0.24</v>
      </c>
      <c r="F49" s="141">
        <v>3.29</v>
      </c>
      <c r="G49" s="141">
        <v>97</v>
      </c>
      <c r="H49" s="347"/>
      <c r="I49" s="138"/>
      <c r="J49" s="132"/>
      <c r="K49" s="117"/>
      <c r="L49" s="117"/>
      <c r="M49" s="117"/>
      <c r="N49" s="136"/>
      <c r="O49" s="114"/>
      <c r="P49" s="114"/>
      <c r="Q49" s="132"/>
      <c r="R49" s="117"/>
      <c r="S49" s="117"/>
      <c r="T49" s="117"/>
    </row>
    <row r="50" spans="2:20">
      <c r="B50" s="128" t="s">
        <v>36</v>
      </c>
      <c r="C50" s="129" t="s">
        <v>41</v>
      </c>
      <c r="D50" s="130">
        <v>9.5500000000000007</v>
      </c>
      <c r="E50" s="141">
        <v>0.24</v>
      </c>
      <c r="F50" s="141">
        <v>3.29</v>
      </c>
      <c r="G50" s="141">
        <v>97</v>
      </c>
      <c r="H50" s="348"/>
      <c r="I50" s="138"/>
      <c r="J50" s="132"/>
      <c r="K50" s="117"/>
      <c r="L50" s="117"/>
      <c r="M50" s="117"/>
      <c r="N50" s="136"/>
      <c r="O50" s="114"/>
      <c r="P50" s="114"/>
      <c r="Q50" s="132"/>
      <c r="R50" s="117"/>
      <c r="S50" s="117"/>
      <c r="T50" s="117"/>
    </row>
    <row r="51" spans="2:20">
      <c r="B51" s="124" t="s">
        <v>28</v>
      </c>
      <c r="C51" s="125" t="s">
        <v>17</v>
      </c>
      <c r="D51" s="126">
        <v>8.41</v>
      </c>
      <c r="E51" s="140">
        <v>0.33</v>
      </c>
      <c r="F51" s="140">
        <v>2.97</v>
      </c>
      <c r="G51" s="140">
        <v>77</v>
      </c>
      <c r="H51" s="349" t="s">
        <v>107</v>
      </c>
      <c r="I51" s="138"/>
      <c r="J51" s="132"/>
      <c r="K51" s="117"/>
      <c r="L51" s="117"/>
      <c r="M51" s="117"/>
      <c r="N51" s="136"/>
      <c r="O51" s="114"/>
      <c r="P51" s="114"/>
      <c r="Q51" s="132"/>
      <c r="R51" s="117"/>
      <c r="S51" s="117"/>
      <c r="T51" s="117"/>
    </row>
    <row r="52" spans="2:20">
      <c r="B52" s="128" t="s">
        <v>32</v>
      </c>
      <c r="C52" s="129" t="s">
        <v>17</v>
      </c>
      <c r="D52" s="130">
        <v>11.58</v>
      </c>
      <c r="E52" s="141">
        <v>0.33</v>
      </c>
      <c r="F52" s="141">
        <v>2.97</v>
      </c>
      <c r="G52" s="141">
        <v>77</v>
      </c>
      <c r="H52" s="350"/>
      <c r="I52" s="138"/>
      <c r="J52" s="132"/>
      <c r="K52" s="117"/>
      <c r="L52" s="117"/>
      <c r="M52" s="117"/>
      <c r="N52" s="136"/>
      <c r="O52" s="114"/>
      <c r="P52" s="114"/>
      <c r="Q52" s="132"/>
      <c r="R52" s="117"/>
      <c r="S52" s="117"/>
      <c r="T52" s="117"/>
    </row>
    <row r="53" spans="2:20">
      <c r="B53" s="128" t="s">
        <v>33</v>
      </c>
      <c r="C53" s="129" t="s">
        <v>17</v>
      </c>
      <c r="D53" s="130">
        <v>14.61</v>
      </c>
      <c r="E53" s="141">
        <v>0.33</v>
      </c>
      <c r="F53" s="141">
        <v>2.97</v>
      </c>
      <c r="G53" s="141">
        <v>77</v>
      </c>
      <c r="H53" s="350"/>
      <c r="I53" s="138"/>
      <c r="J53" s="132"/>
      <c r="K53" s="117"/>
      <c r="L53" s="117"/>
      <c r="M53" s="117"/>
      <c r="N53" s="136"/>
      <c r="O53" s="114"/>
      <c r="P53" s="114"/>
      <c r="Q53" s="132"/>
      <c r="R53" s="117"/>
      <c r="S53" s="117"/>
      <c r="T53" s="117"/>
    </row>
    <row r="54" spans="2:20">
      <c r="B54" s="137" t="s">
        <v>36</v>
      </c>
      <c r="C54" s="142" t="s">
        <v>17</v>
      </c>
      <c r="D54" s="143">
        <v>16.55</v>
      </c>
      <c r="E54" s="144">
        <v>0.33</v>
      </c>
      <c r="F54" s="144">
        <v>2.97</v>
      </c>
      <c r="G54" s="144">
        <v>77</v>
      </c>
      <c r="H54" s="351"/>
      <c r="I54" s="138"/>
      <c r="J54" s="132"/>
      <c r="K54" s="117"/>
      <c r="L54" s="117"/>
      <c r="M54" s="117"/>
      <c r="N54" s="136"/>
      <c r="O54" s="114"/>
      <c r="P54" s="114"/>
      <c r="Q54" s="132"/>
      <c r="R54" s="117"/>
      <c r="S54" s="117"/>
      <c r="T54" s="117"/>
    </row>
    <row r="55" spans="2:20">
      <c r="B55" s="128" t="s">
        <v>28</v>
      </c>
      <c r="C55" s="129" t="s">
        <v>42</v>
      </c>
      <c r="D55" s="130">
        <v>3.89</v>
      </c>
      <c r="E55" s="141">
        <v>0.32</v>
      </c>
      <c r="F55" s="141">
        <v>3.97</v>
      </c>
      <c r="G55" s="141">
        <v>149</v>
      </c>
      <c r="H55" s="352" t="s">
        <v>158</v>
      </c>
      <c r="I55" s="138"/>
      <c r="J55" s="132"/>
      <c r="K55" s="117"/>
      <c r="L55" s="117"/>
      <c r="M55" s="117"/>
      <c r="N55" s="136"/>
      <c r="O55" s="114"/>
      <c r="P55" s="114"/>
      <c r="Q55" s="132"/>
      <c r="R55" s="117"/>
      <c r="S55" s="117"/>
      <c r="T55" s="117"/>
    </row>
    <row r="56" spans="2:20">
      <c r="B56" s="128" t="s">
        <v>32</v>
      </c>
      <c r="C56" s="129" t="s">
        <v>42</v>
      </c>
      <c r="D56" s="132">
        <v>7.6</v>
      </c>
      <c r="E56" s="141">
        <v>0.32</v>
      </c>
      <c r="F56" s="141">
        <v>3.97</v>
      </c>
      <c r="G56" s="141">
        <v>149</v>
      </c>
      <c r="H56" s="353"/>
      <c r="I56" s="138"/>
      <c r="J56" s="132"/>
      <c r="K56" s="117"/>
      <c r="L56" s="117"/>
      <c r="M56" s="117"/>
      <c r="N56" s="136"/>
      <c r="O56" s="114"/>
      <c r="P56" s="114"/>
      <c r="Q56" s="132"/>
      <c r="R56" s="117"/>
      <c r="S56" s="117"/>
      <c r="T56" s="117"/>
    </row>
    <row r="57" spans="2:20">
      <c r="B57" s="128" t="s">
        <v>33</v>
      </c>
      <c r="C57" s="129" t="s">
        <v>42</v>
      </c>
      <c r="D57" s="130">
        <v>10.38</v>
      </c>
      <c r="E57" s="141">
        <v>0.32</v>
      </c>
      <c r="F57" s="141">
        <v>3.97</v>
      </c>
      <c r="G57" s="141">
        <v>149</v>
      </c>
      <c r="H57" s="353"/>
      <c r="I57" s="138"/>
      <c r="J57" s="132"/>
      <c r="K57" s="117"/>
      <c r="L57" s="117"/>
      <c r="M57" s="117"/>
      <c r="N57" s="136"/>
      <c r="O57" s="114"/>
      <c r="P57" s="114"/>
      <c r="Q57" s="132"/>
      <c r="R57" s="117"/>
      <c r="S57" s="117"/>
      <c r="T57" s="117"/>
    </row>
    <row r="58" spans="2:20">
      <c r="B58" s="137" t="s">
        <v>36</v>
      </c>
      <c r="C58" s="142" t="s">
        <v>42</v>
      </c>
      <c r="D58" s="243">
        <v>12.97</v>
      </c>
      <c r="E58" s="144">
        <v>0.32</v>
      </c>
      <c r="F58" s="144">
        <v>3.97</v>
      </c>
      <c r="G58" s="144">
        <v>149</v>
      </c>
      <c r="H58" s="351"/>
      <c r="I58" s="138"/>
      <c r="J58" s="132"/>
      <c r="K58" s="117"/>
      <c r="L58" s="117"/>
      <c r="M58" s="117"/>
      <c r="N58" s="136"/>
      <c r="O58" s="114"/>
      <c r="P58" s="114"/>
      <c r="Q58" s="132"/>
      <c r="R58" s="117"/>
      <c r="S58" s="117"/>
      <c r="T58" s="117"/>
    </row>
    <row r="59" spans="2:20">
      <c r="B59" s="145" t="s">
        <v>28</v>
      </c>
      <c r="C59" s="146" t="s">
        <v>37</v>
      </c>
      <c r="D59" s="130">
        <v>8.41</v>
      </c>
      <c r="E59" s="141">
        <v>0.43</v>
      </c>
      <c r="F59" s="141">
        <v>2.65</v>
      </c>
      <c r="G59" s="141">
        <v>141</v>
      </c>
      <c r="H59" s="352" t="s">
        <v>108</v>
      </c>
      <c r="I59" s="138"/>
      <c r="J59" s="132"/>
      <c r="K59" s="117"/>
      <c r="L59" s="117"/>
      <c r="M59" s="117"/>
      <c r="N59" s="114"/>
      <c r="O59" s="114"/>
      <c r="P59" s="114"/>
      <c r="Q59" s="132"/>
      <c r="R59" s="117"/>
      <c r="S59" s="117"/>
      <c r="T59" s="117"/>
    </row>
    <row r="60" spans="2:20">
      <c r="B60" s="145" t="s">
        <v>32</v>
      </c>
      <c r="C60" s="146" t="s">
        <v>37</v>
      </c>
      <c r="D60" s="130">
        <v>11.58</v>
      </c>
      <c r="E60" s="141">
        <v>0.43</v>
      </c>
      <c r="F60" s="141">
        <v>2.65</v>
      </c>
      <c r="G60" s="141">
        <v>141</v>
      </c>
      <c r="H60" s="350"/>
      <c r="I60" s="138"/>
      <c r="J60" s="132"/>
      <c r="K60" s="117"/>
      <c r="L60" s="117"/>
      <c r="M60" s="117"/>
      <c r="N60" s="114"/>
      <c r="O60" s="114"/>
      <c r="P60" s="114"/>
      <c r="Q60" s="132"/>
      <c r="R60" s="117"/>
      <c r="S60" s="117"/>
      <c r="T60" s="117"/>
    </row>
    <row r="61" spans="2:20">
      <c r="B61" s="145" t="s">
        <v>33</v>
      </c>
      <c r="C61" s="146" t="s">
        <v>37</v>
      </c>
      <c r="D61" s="130">
        <v>14.61</v>
      </c>
      <c r="E61" s="141">
        <v>0.43</v>
      </c>
      <c r="F61" s="141">
        <v>2.65</v>
      </c>
      <c r="G61" s="141">
        <v>141</v>
      </c>
      <c r="H61" s="350"/>
      <c r="I61" s="138"/>
      <c r="J61" s="132"/>
      <c r="K61" s="117"/>
      <c r="L61" s="117"/>
      <c r="M61" s="117"/>
      <c r="N61" s="114"/>
      <c r="O61" s="114"/>
      <c r="P61" s="114"/>
      <c r="Q61" s="132"/>
      <c r="R61" s="117"/>
      <c r="S61" s="117"/>
      <c r="T61" s="117"/>
    </row>
    <row r="62" spans="2:20">
      <c r="B62" s="145" t="s">
        <v>36</v>
      </c>
      <c r="C62" s="146" t="s">
        <v>37</v>
      </c>
      <c r="D62" s="130">
        <v>16.55</v>
      </c>
      <c r="E62" s="141">
        <v>0.43</v>
      </c>
      <c r="F62" s="141">
        <v>2.65</v>
      </c>
      <c r="G62" s="141">
        <v>141</v>
      </c>
      <c r="H62" s="351"/>
      <c r="I62" s="138"/>
      <c r="J62" s="132"/>
      <c r="K62" s="117"/>
      <c r="L62" s="117"/>
      <c r="M62" s="117"/>
      <c r="N62" s="114"/>
      <c r="O62" s="114"/>
      <c r="P62" s="114"/>
      <c r="Q62" s="132"/>
      <c r="R62" s="117"/>
      <c r="S62" s="117"/>
      <c r="T62" s="117"/>
    </row>
    <row r="63" spans="2:20">
      <c r="B63" s="147" t="s">
        <v>28</v>
      </c>
      <c r="C63" s="148" t="s">
        <v>8</v>
      </c>
      <c r="D63" s="126">
        <v>0</v>
      </c>
      <c r="E63" s="140">
        <v>0.11</v>
      </c>
      <c r="F63" s="140">
        <v>1.74</v>
      </c>
      <c r="G63" s="140">
        <v>51</v>
      </c>
      <c r="H63" s="352" t="s">
        <v>109</v>
      </c>
      <c r="I63" s="138"/>
      <c r="J63" s="132"/>
      <c r="K63" s="117"/>
      <c r="L63" s="117"/>
      <c r="M63" s="117"/>
      <c r="N63" s="114"/>
      <c r="O63" s="114"/>
      <c r="P63" s="114"/>
      <c r="Q63" s="132"/>
      <c r="R63" s="117"/>
      <c r="S63" s="117"/>
      <c r="T63" s="117"/>
    </row>
    <row r="64" spans="2:20">
      <c r="B64" s="145" t="s">
        <v>32</v>
      </c>
      <c r="C64" s="146" t="s">
        <v>8</v>
      </c>
      <c r="D64" s="130">
        <v>0.28999999999999998</v>
      </c>
      <c r="E64" s="141">
        <v>0.11</v>
      </c>
      <c r="F64" s="141">
        <v>1.74</v>
      </c>
      <c r="G64" s="141">
        <v>51</v>
      </c>
      <c r="H64" s="353"/>
      <c r="I64" s="138"/>
      <c r="J64" s="132"/>
      <c r="K64" s="117"/>
      <c r="L64" s="117"/>
      <c r="M64" s="117"/>
      <c r="N64" s="114"/>
      <c r="O64" s="114"/>
      <c r="P64" s="114"/>
      <c r="Q64" s="132"/>
      <c r="R64" s="117"/>
      <c r="S64" s="117"/>
      <c r="T64" s="117"/>
    </row>
    <row r="65" spans="2:20">
      <c r="B65" s="145" t="s">
        <v>33</v>
      </c>
      <c r="C65" s="146" t="s">
        <v>8</v>
      </c>
      <c r="D65" s="130">
        <v>1.39</v>
      </c>
      <c r="E65" s="141">
        <v>0.11</v>
      </c>
      <c r="F65" s="141">
        <v>1.74</v>
      </c>
      <c r="G65" s="141">
        <v>51</v>
      </c>
      <c r="H65" s="353"/>
      <c r="I65" s="138"/>
      <c r="J65" s="132"/>
      <c r="K65" s="117"/>
      <c r="L65" s="117"/>
      <c r="M65" s="117"/>
      <c r="N65" s="114"/>
      <c r="O65" s="114"/>
      <c r="P65" s="114"/>
      <c r="Q65" s="132"/>
      <c r="R65" s="117"/>
      <c r="S65" s="117"/>
      <c r="T65" s="117"/>
    </row>
    <row r="66" spans="2:20">
      <c r="B66" s="149" t="s">
        <v>36</v>
      </c>
      <c r="C66" s="150" t="s">
        <v>8</v>
      </c>
      <c r="D66" s="143">
        <v>2.68</v>
      </c>
      <c r="E66" s="144">
        <v>0.11</v>
      </c>
      <c r="F66" s="144">
        <v>1.74</v>
      </c>
      <c r="G66" s="144">
        <v>51</v>
      </c>
      <c r="H66" s="351"/>
      <c r="I66" s="138"/>
      <c r="J66" s="132"/>
      <c r="K66" s="117"/>
      <c r="L66" s="117"/>
      <c r="M66" s="117"/>
      <c r="N66" s="114"/>
      <c r="O66" s="114"/>
      <c r="P66" s="114"/>
      <c r="Q66" s="132"/>
      <c r="R66" s="117"/>
      <c r="S66" s="117"/>
      <c r="T66" s="117"/>
    </row>
    <row r="67" spans="2:20">
      <c r="B67" s="145" t="s">
        <v>28</v>
      </c>
      <c r="C67" s="146" t="s">
        <v>38</v>
      </c>
      <c r="D67" s="130">
        <v>0.03</v>
      </c>
      <c r="E67" s="141">
        <v>0.11</v>
      </c>
      <c r="F67" s="141">
        <v>1.74</v>
      </c>
      <c r="G67" s="141">
        <v>51</v>
      </c>
      <c r="H67" s="349" t="s">
        <v>159</v>
      </c>
      <c r="I67" s="123"/>
      <c r="J67" s="134"/>
      <c r="K67" s="135"/>
      <c r="L67" s="135"/>
      <c r="M67" s="135"/>
      <c r="N67" s="114"/>
      <c r="O67" s="122"/>
      <c r="P67" s="122"/>
      <c r="Q67" s="122"/>
      <c r="R67" s="122"/>
      <c r="S67" s="122"/>
      <c r="T67" s="122"/>
    </row>
    <row r="68" spans="2:20">
      <c r="B68" s="145" t="s">
        <v>32</v>
      </c>
      <c r="C68" s="146" t="s">
        <v>38</v>
      </c>
      <c r="D68" s="130">
        <v>0.56999999999999995</v>
      </c>
      <c r="E68" s="141">
        <v>0.11</v>
      </c>
      <c r="F68" s="141">
        <v>1.74</v>
      </c>
      <c r="G68" s="141">
        <v>51</v>
      </c>
      <c r="H68" s="353"/>
      <c r="I68" s="114"/>
      <c r="J68" s="132"/>
      <c r="K68" s="132"/>
      <c r="L68" s="132"/>
      <c r="M68" s="139"/>
      <c r="N68" s="151"/>
    </row>
    <row r="69" spans="2:20">
      <c r="B69" s="145" t="s">
        <v>33</v>
      </c>
      <c r="C69" s="146" t="s">
        <v>38</v>
      </c>
      <c r="D69" s="130">
        <v>2.0299999999999998</v>
      </c>
      <c r="E69" s="141">
        <v>0.11</v>
      </c>
      <c r="F69" s="141">
        <v>1.74</v>
      </c>
      <c r="G69" s="141">
        <v>51</v>
      </c>
      <c r="H69" s="353"/>
      <c r="I69" s="114"/>
      <c r="J69" s="132"/>
      <c r="K69" s="132"/>
      <c r="L69" s="132"/>
      <c r="M69" s="139"/>
      <c r="N69" s="151"/>
    </row>
    <row r="70" spans="2:20">
      <c r="B70" s="149" t="s">
        <v>36</v>
      </c>
      <c r="C70" s="150" t="s">
        <v>38</v>
      </c>
      <c r="D70" s="143">
        <v>3.54</v>
      </c>
      <c r="E70" s="144">
        <v>0.11</v>
      </c>
      <c r="F70" s="144">
        <v>1.74</v>
      </c>
      <c r="G70" s="144">
        <v>51</v>
      </c>
      <c r="H70" s="351"/>
      <c r="I70" s="114"/>
      <c r="J70" s="132"/>
      <c r="K70" s="132"/>
      <c r="L70" s="132"/>
      <c r="M70" s="139"/>
      <c r="N70" s="151"/>
      <c r="O70" s="152"/>
    </row>
    <row r="71" spans="2:20" ht="18">
      <c r="B71" s="145" t="s">
        <v>28</v>
      </c>
      <c r="C71" s="146" t="s">
        <v>125</v>
      </c>
      <c r="D71" s="130">
        <v>0</v>
      </c>
      <c r="E71" s="141">
        <v>0.08</v>
      </c>
      <c r="F71" s="141">
        <v>1.38</v>
      </c>
      <c r="G71" s="141">
        <v>6</v>
      </c>
      <c r="H71" s="349" t="s">
        <v>110</v>
      </c>
      <c r="I71" s="114"/>
      <c r="J71" s="132"/>
      <c r="K71" s="132"/>
      <c r="L71" s="132"/>
      <c r="M71" s="139"/>
      <c r="N71" s="151"/>
    </row>
    <row r="72" spans="2:20" ht="18">
      <c r="B72" s="145" t="s">
        <v>32</v>
      </c>
      <c r="C72" s="146" t="s">
        <v>125</v>
      </c>
      <c r="D72" s="130">
        <v>0</v>
      </c>
      <c r="E72" s="141">
        <v>0.08</v>
      </c>
      <c r="F72" s="141">
        <v>1.38</v>
      </c>
      <c r="G72" s="141">
        <v>6</v>
      </c>
      <c r="H72" s="354"/>
      <c r="I72" s="114"/>
      <c r="J72" s="132"/>
      <c r="K72" s="132"/>
      <c r="L72" s="132"/>
      <c r="M72" s="139"/>
      <c r="N72" s="151"/>
    </row>
    <row r="73" spans="2:20" ht="18">
      <c r="B73" s="145" t="s">
        <v>33</v>
      </c>
      <c r="C73" s="146" t="s">
        <v>125</v>
      </c>
      <c r="D73" s="130">
        <v>0</v>
      </c>
      <c r="E73" s="141">
        <v>0.08</v>
      </c>
      <c r="F73" s="141">
        <v>1.38</v>
      </c>
      <c r="G73" s="141">
        <v>6</v>
      </c>
      <c r="H73" s="354"/>
      <c r="I73" s="114"/>
      <c r="J73" s="132"/>
      <c r="K73" s="132"/>
      <c r="L73" s="132"/>
      <c r="M73" s="139"/>
      <c r="N73" s="151"/>
    </row>
    <row r="74" spans="2:20" ht="18">
      <c r="B74" s="145" t="s">
        <v>36</v>
      </c>
      <c r="C74" s="146" t="s">
        <v>125</v>
      </c>
      <c r="D74" s="130">
        <v>0</v>
      </c>
      <c r="E74" s="141">
        <v>0.08</v>
      </c>
      <c r="F74" s="141">
        <v>1.38</v>
      </c>
      <c r="G74" s="141">
        <v>6</v>
      </c>
      <c r="H74" s="355"/>
      <c r="I74" s="114"/>
      <c r="J74" s="132"/>
      <c r="K74" s="132"/>
      <c r="L74" s="132"/>
      <c r="M74" s="139"/>
      <c r="N74" s="151"/>
    </row>
    <row r="75" spans="2:20" ht="18">
      <c r="B75" s="147" t="s">
        <v>28</v>
      </c>
      <c r="C75" s="148" t="s">
        <v>126</v>
      </c>
      <c r="D75" s="126">
        <v>0</v>
      </c>
      <c r="E75" s="140">
        <v>0.08</v>
      </c>
      <c r="F75" s="140">
        <v>1.38</v>
      </c>
      <c r="G75" s="140">
        <v>6</v>
      </c>
      <c r="H75" s="349" t="s">
        <v>111</v>
      </c>
      <c r="I75" s="114"/>
      <c r="J75" s="132"/>
      <c r="K75" s="117"/>
      <c r="L75" s="117"/>
      <c r="M75" s="117"/>
      <c r="N75" s="151"/>
    </row>
    <row r="76" spans="2:20" ht="18">
      <c r="B76" s="145" t="s">
        <v>32</v>
      </c>
      <c r="C76" s="146" t="s">
        <v>126</v>
      </c>
      <c r="D76" s="130">
        <v>0</v>
      </c>
      <c r="E76" s="141">
        <v>0.08</v>
      </c>
      <c r="F76" s="141">
        <v>1.38</v>
      </c>
      <c r="G76" s="141">
        <v>6</v>
      </c>
      <c r="H76" s="354"/>
      <c r="I76" s="114"/>
      <c r="J76" s="132"/>
      <c r="K76" s="117"/>
      <c r="L76" s="117"/>
      <c r="M76" s="117"/>
      <c r="N76" s="151"/>
    </row>
    <row r="77" spans="2:20" ht="18">
      <c r="B77" s="145" t="s">
        <v>33</v>
      </c>
      <c r="C77" s="146" t="s">
        <v>126</v>
      </c>
      <c r="D77" s="130">
        <v>0</v>
      </c>
      <c r="E77" s="141">
        <v>0.08</v>
      </c>
      <c r="F77" s="141">
        <v>1.38</v>
      </c>
      <c r="G77" s="141">
        <v>6</v>
      </c>
      <c r="H77" s="354"/>
      <c r="I77" s="114"/>
      <c r="J77" s="132"/>
      <c r="K77" s="117"/>
      <c r="L77" s="117"/>
      <c r="M77" s="117"/>
      <c r="N77" s="151"/>
    </row>
    <row r="78" spans="2:20" ht="18">
      <c r="B78" s="149" t="s">
        <v>36</v>
      </c>
      <c r="C78" s="150" t="s">
        <v>126</v>
      </c>
      <c r="D78" s="143">
        <v>0</v>
      </c>
      <c r="E78" s="144">
        <v>0.08</v>
      </c>
      <c r="F78" s="144">
        <v>1.38</v>
      </c>
      <c r="G78" s="144">
        <v>6</v>
      </c>
      <c r="H78" s="355"/>
      <c r="I78" s="114"/>
      <c r="J78" s="132"/>
      <c r="K78" s="117"/>
      <c r="L78" s="117"/>
      <c r="M78" s="117"/>
      <c r="N78" s="151"/>
    </row>
    <row r="79" spans="2:20">
      <c r="B79" s="112"/>
      <c r="C79" s="112"/>
      <c r="D79" s="112"/>
      <c r="E79" s="112"/>
      <c r="F79" s="112"/>
      <c r="G79" s="112"/>
      <c r="H79" s="129"/>
      <c r="I79" s="114"/>
      <c r="J79" s="132"/>
      <c r="K79" s="117"/>
      <c r="L79" s="117"/>
      <c r="M79" s="117"/>
      <c r="N79" s="151"/>
    </row>
    <row r="80" spans="2:20">
      <c r="B80" s="112"/>
      <c r="C80" s="112"/>
      <c r="D80" s="112"/>
      <c r="E80" s="112"/>
      <c r="F80" s="112"/>
      <c r="G80" s="112"/>
      <c r="H80" s="129"/>
      <c r="I80" s="114"/>
      <c r="J80" s="132"/>
      <c r="K80" s="117"/>
      <c r="L80" s="117"/>
      <c r="M80" s="117"/>
      <c r="N80" s="151"/>
    </row>
    <row r="81" spans="2:14">
      <c r="B81" s="99" t="s">
        <v>54</v>
      </c>
      <c r="C81" s="112"/>
      <c r="D81" s="112"/>
      <c r="E81" s="112"/>
      <c r="F81" s="112"/>
      <c r="G81" s="112"/>
    </row>
    <row r="82" spans="2:14">
      <c r="B82" s="112" t="s">
        <v>167</v>
      </c>
      <c r="C82" s="112"/>
      <c r="D82" s="112"/>
      <c r="E82" s="112"/>
      <c r="F82" s="112"/>
      <c r="G82" s="112"/>
      <c r="H82" s="112"/>
    </row>
    <row r="83" spans="2:14">
      <c r="B83" s="112" t="s">
        <v>127</v>
      </c>
      <c r="C83" s="112"/>
      <c r="D83" s="112"/>
      <c r="E83" s="112"/>
      <c r="F83" s="112"/>
      <c r="G83" s="112"/>
      <c r="H83" s="112"/>
    </row>
    <row r="84" spans="2:14">
      <c r="B84" s="112" t="s">
        <v>96</v>
      </c>
      <c r="C84" s="112"/>
      <c r="D84" s="112"/>
      <c r="E84" s="112"/>
      <c r="F84" s="112"/>
      <c r="G84" s="112"/>
      <c r="H84" s="112"/>
      <c r="I84" s="152"/>
    </row>
    <row r="85" spans="2:14">
      <c r="B85" s="112"/>
      <c r="C85" s="112"/>
      <c r="D85" s="112"/>
      <c r="E85" s="112"/>
      <c r="F85" s="112"/>
      <c r="G85" s="112"/>
      <c r="H85" s="112"/>
    </row>
    <row r="86" spans="2:14">
      <c r="B86" s="112" t="s">
        <v>128</v>
      </c>
      <c r="C86" s="112"/>
      <c r="D86" s="112"/>
      <c r="E86" s="112"/>
      <c r="F86" s="112"/>
      <c r="G86" s="112"/>
      <c r="H86" s="112"/>
    </row>
    <row r="87" spans="2:14">
      <c r="B87" s="112" t="s">
        <v>112</v>
      </c>
      <c r="C87" s="112"/>
      <c r="D87" s="112"/>
      <c r="E87" s="112"/>
      <c r="F87" s="112"/>
      <c r="G87" s="112"/>
      <c r="H87" s="112"/>
    </row>
    <row r="88" spans="2:14">
      <c r="B88" s="112"/>
      <c r="C88" s="112"/>
      <c r="D88" s="112"/>
      <c r="E88" s="112"/>
      <c r="F88" s="112"/>
      <c r="G88" s="112"/>
      <c r="H88" s="112"/>
    </row>
    <row r="89" spans="2:14" ht="75" customHeight="1">
      <c r="B89" s="359" t="s">
        <v>161</v>
      </c>
      <c r="C89" s="360"/>
      <c r="D89" s="360"/>
      <c r="E89" s="360"/>
      <c r="F89" s="360"/>
      <c r="G89" s="360"/>
      <c r="H89" s="360"/>
    </row>
    <row r="90" spans="2:14">
      <c r="B90" s="153" t="s">
        <v>114</v>
      </c>
      <c r="C90" s="111" t="s">
        <v>115</v>
      </c>
      <c r="D90" s="111" t="s">
        <v>116</v>
      </c>
      <c r="E90" s="111" t="s">
        <v>117</v>
      </c>
      <c r="F90" s="235"/>
      <c r="G90" s="235"/>
      <c r="H90" s="235"/>
    </row>
    <row r="91" spans="2:14">
      <c r="B91" s="153" t="s">
        <v>113</v>
      </c>
      <c r="C91" s="111">
        <v>0.37</v>
      </c>
      <c r="D91" s="111">
        <v>5.98</v>
      </c>
      <c r="E91" s="111">
        <v>145</v>
      </c>
      <c r="F91" s="235"/>
      <c r="G91" s="235"/>
      <c r="H91" s="235"/>
    </row>
    <row r="92" spans="2:14" ht="63.75" customHeight="1">
      <c r="B92" s="359" t="s">
        <v>97</v>
      </c>
      <c r="C92" s="359"/>
      <c r="D92" s="359"/>
      <c r="E92" s="359"/>
      <c r="F92" s="359"/>
      <c r="G92" s="359"/>
      <c r="H92" s="360"/>
    </row>
    <row r="93" spans="2:14" ht="36" customHeight="1">
      <c r="B93" s="359" t="s">
        <v>98</v>
      </c>
      <c r="C93" s="359"/>
      <c r="D93" s="359"/>
      <c r="E93" s="359"/>
      <c r="F93" s="359"/>
      <c r="G93" s="359"/>
      <c r="H93" s="359"/>
      <c r="I93" s="152"/>
    </row>
    <row r="94" spans="2:14">
      <c r="B94" s="112"/>
      <c r="C94" s="112"/>
      <c r="D94" s="112"/>
      <c r="E94" s="112"/>
      <c r="F94" s="112"/>
      <c r="G94" s="112"/>
      <c r="H94" s="112"/>
      <c r="I94" s="112"/>
    </row>
    <row r="95" spans="2:14">
      <c r="B95" s="101" t="s">
        <v>181</v>
      </c>
      <c r="C95" s="112"/>
      <c r="D95" s="112"/>
      <c r="E95" s="112"/>
      <c r="F95" s="112"/>
      <c r="G95" s="112"/>
      <c r="H95" s="112"/>
      <c r="I95" s="112"/>
    </row>
    <row r="96" spans="2:14" ht="20.25" customHeight="1">
      <c r="B96" s="112"/>
      <c r="C96" s="112"/>
      <c r="D96" s="112"/>
      <c r="E96" s="112"/>
      <c r="F96" s="112"/>
      <c r="G96" s="112"/>
      <c r="H96" s="129"/>
      <c r="I96" s="114"/>
      <c r="J96" s="132"/>
      <c r="K96" s="117"/>
      <c r="L96" s="117"/>
      <c r="M96" s="117"/>
      <c r="N96" s="151"/>
    </row>
    <row r="97" spans="2:14" ht="42" customHeight="1">
      <c r="B97" s="358" t="s">
        <v>162</v>
      </c>
      <c r="C97" s="359"/>
      <c r="D97" s="359"/>
      <c r="E97" s="359"/>
      <c r="F97" s="359"/>
      <c r="G97" s="359"/>
      <c r="H97" s="129"/>
      <c r="I97" s="114"/>
      <c r="J97" s="132"/>
      <c r="K97" s="117"/>
      <c r="L97" s="117"/>
      <c r="M97" s="117"/>
      <c r="N97" s="151"/>
    </row>
    <row r="98" spans="2:14">
      <c r="H98" s="114"/>
      <c r="I98" s="114"/>
      <c r="J98" s="132"/>
      <c r="K98" s="117"/>
      <c r="L98" s="117"/>
      <c r="M98" s="117"/>
      <c r="N98" s="151"/>
    </row>
    <row r="99" spans="2:14">
      <c r="H99" s="114"/>
      <c r="I99" s="114"/>
      <c r="J99" s="132"/>
      <c r="K99" s="117"/>
      <c r="L99" s="117"/>
      <c r="M99" s="117"/>
      <c r="N99" s="151"/>
    </row>
    <row r="100" spans="2:14">
      <c r="H100" s="114"/>
      <c r="I100" s="114"/>
      <c r="J100" s="132"/>
      <c r="K100" s="117"/>
      <c r="L100" s="117"/>
      <c r="M100" s="117"/>
      <c r="N100" s="151"/>
    </row>
    <row r="101" spans="2:14">
      <c r="H101" s="114"/>
      <c r="I101" s="114"/>
      <c r="J101" s="132"/>
      <c r="K101" s="117"/>
      <c r="L101" s="117"/>
      <c r="M101" s="117"/>
      <c r="N101" s="151"/>
    </row>
    <row r="102" spans="2:14">
      <c r="H102" s="114"/>
      <c r="I102" s="114"/>
      <c r="J102" s="132"/>
      <c r="K102" s="117"/>
      <c r="L102" s="117"/>
      <c r="M102" s="117"/>
      <c r="N102" s="151"/>
    </row>
    <row r="103" spans="2:14">
      <c r="H103" s="114"/>
      <c r="I103" s="114"/>
      <c r="J103" s="114"/>
      <c r="K103" s="114"/>
      <c r="L103" s="114"/>
      <c r="M103" s="114"/>
      <c r="N103" s="151"/>
    </row>
    <row r="104" spans="2:14">
      <c r="H104" s="122"/>
      <c r="I104" s="122"/>
      <c r="J104" s="122"/>
      <c r="K104" s="122"/>
      <c r="L104" s="122"/>
      <c r="M104" s="122"/>
    </row>
    <row r="105" spans="2:14">
      <c r="H105" s="122"/>
      <c r="I105" s="122"/>
      <c r="J105" s="122"/>
      <c r="K105" s="122"/>
      <c r="L105" s="122"/>
      <c r="M105" s="122"/>
    </row>
    <row r="106" spans="2:14">
      <c r="H106" s="122"/>
      <c r="I106" s="122"/>
      <c r="J106" s="122"/>
      <c r="K106" s="122"/>
      <c r="L106" s="122"/>
      <c r="M106" s="122"/>
    </row>
  </sheetData>
  <sheetProtection password="AFF9" sheet="1" objects="1" scenarios="1"/>
  <mergeCells count="39">
    <mergeCell ref="K6:T6"/>
    <mergeCell ref="K16:T16"/>
    <mergeCell ref="K13:T14"/>
    <mergeCell ref="J13:J14"/>
    <mergeCell ref="K7:T12"/>
    <mergeCell ref="J7:J12"/>
    <mergeCell ref="K41:R44"/>
    <mergeCell ref="H5:H6"/>
    <mergeCell ref="C5:F5"/>
    <mergeCell ref="B13:H13"/>
    <mergeCell ref="B14:H14"/>
    <mergeCell ref="B15:H15"/>
    <mergeCell ref="B16:H16"/>
    <mergeCell ref="B17:H17"/>
    <mergeCell ref="B18:H18"/>
    <mergeCell ref="K35:R40"/>
    <mergeCell ref="J35:J40"/>
    <mergeCell ref="K25:R29"/>
    <mergeCell ref="J25:J29"/>
    <mergeCell ref="K30:R34"/>
    <mergeCell ref="J30:J34"/>
    <mergeCell ref="K15:T15"/>
    <mergeCell ref="B97:G97"/>
    <mergeCell ref="H63:H66"/>
    <mergeCell ref="H67:H70"/>
    <mergeCell ref="H71:H74"/>
    <mergeCell ref="H75:H78"/>
    <mergeCell ref="B89:H89"/>
    <mergeCell ref="B93:H93"/>
    <mergeCell ref="B92:H92"/>
    <mergeCell ref="H47:H50"/>
    <mergeCell ref="H51:H54"/>
    <mergeCell ref="H55:H58"/>
    <mergeCell ref="H59:H62"/>
    <mergeCell ref="H27:H30"/>
    <mergeCell ref="H31:H34"/>
    <mergeCell ref="H35:H38"/>
    <mergeCell ref="H39:H42"/>
    <mergeCell ref="H43:H46"/>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A-Current Load</vt:lpstr>
      <vt:lpstr>B-Future Load</vt:lpstr>
      <vt:lpstr>C-Apply BMP</vt:lpstr>
      <vt:lpstr>D-Print Results</vt:lpstr>
      <vt:lpstr>LOOKUP TABLES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 Dell GIS</dc:creator>
  <cp:lastModifiedBy>New Dell GIS</cp:lastModifiedBy>
  <cp:lastPrinted>2009-09-23T18:14:41Z</cp:lastPrinted>
  <dcterms:created xsi:type="dcterms:W3CDTF">2009-06-29T17:35:15Z</dcterms:created>
  <dcterms:modified xsi:type="dcterms:W3CDTF">2010-09-08T19:05:38Z</dcterms:modified>
</cp:coreProperties>
</file>